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0" yWindow="105" windowWidth="10980" windowHeight="9045" tabRatio="422" activeTab="0"/>
  </bookViews>
  <sheets>
    <sheet name="LINK Summary" sheetId="1" r:id="rId1"/>
    <sheet name="Iteragency Details" sheetId="2" r:id="rId2"/>
    <sheet name="YTD Calc" sheetId="3" r:id="rId3"/>
  </sheets>
  <definedNames>
    <definedName name="ACLCKO">'YTD Calc'!$Z$3</definedName>
    <definedName name="ACLHLD">'YTD Calc'!$AP$3</definedName>
    <definedName name="allholds">'LINK Summary'!$L$72</definedName>
    <definedName name="allscids">'LINK Summary'!$E$72</definedName>
    <definedName name="BARCKO">'YTD Calc'!$Z$4</definedName>
    <definedName name="BARHLD">'YTD Calc'!$AP$4</definedName>
    <definedName name="BERCKO">'YTD Calc'!$Z$5</definedName>
    <definedName name="BERHLD">'YTD Calc'!$AP$5</definedName>
    <definedName name="BLVCKO">'YTD Calc'!$Z$6</definedName>
    <definedName name="BLVHLD">'YTD Calc'!$AP$6</definedName>
    <definedName name="BRDCKO">'YTD Calc'!$Z$7</definedName>
    <definedName name="BRDHLD">'YTD Calc'!$AP$7</definedName>
    <definedName name="CBRCKO">'YTD Calc'!$Z$8</definedName>
    <definedName name="CBRHLD">'YTD Calc'!$AP$8</definedName>
    <definedName name="CENCKO">'YTD Calc'!$Z$9</definedName>
    <definedName name="CENHLD">'YTD Calc'!$AP$9</definedName>
    <definedName name="cenintb">'Iteragency Details'!$M$27</definedName>
    <definedName name="cenintl">'Iteragency Details'!$L$27</definedName>
    <definedName name="CIACKO">'YTD Calc'!$Z$10</definedName>
    <definedName name="CIAHLD">'YTD Calc'!$AP$10</definedName>
    <definedName name="COLCKO">'YTD Calc'!$Z$11</definedName>
    <definedName name="COLHLD">'YTD Calc'!$AP$11</definedName>
    <definedName name="CSPCKO">'YTD Calc'!$Z$12</definedName>
    <definedName name="CSPHLD">'YTD Calc'!$AP$12</definedName>
    <definedName name="DCLCKO">'YTD Calc'!$Z$13</definedName>
    <definedName name="DCLHLD">'YTD Calc'!$AP$13</definedName>
    <definedName name="DEECKO">'YTD Calc'!$Z$14</definedName>
    <definedName name="DEEHLD">'YTD Calc'!$AP$14</definedName>
    <definedName name="DFTCKO">'YTD Calc'!$Z$15</definedName>
    <definedName name="DFTHLD">'YTD Calc'!$AP$15</definedName>
    <definedName name="DIALCKO">'YTD Calc'!$Z$58</definedName>
    <definedName name="DIALHLD">'YTD Calc'!$AP$58</definedName>
    <definedName name="FCHCKO">'YTD Calc'!$Z$16</definedName>
    <definedName name="FCHHLD">'YTD Calc'!$AP$16</definedName>
    <definedName name="HAWCKO">'YTD Calc'!$Z$17</definedName>
    <definedName name="HAWHLD">'YTD Calc'!$AP$17</definedName>
    <definedName name="hawintb">'Iteragency Details'!$M$29</definedName>
    <definedName name="hawintl">'Iteragency Details'!$L$29</definedName>
    <definedName name="HPBCKO">'YTD Calc'!$Z$18</definedName>
    <definedName name="HPBHLD">'YTD Calc'!$AP$18</definedName>
    <definedName name="hpbintb">'Iteragency Details'!$M$28</definedName>
    <definedName name="hpbintl">'Iteragency Details'!$L$28</definedName>
    <definedName name="LAKCKO">'YTD Calc'!$Z$19</definedName>
    <definedName name="LAKHLD">'YTD Calc'!$AP$19</definedName>
    <definedName name="lakintb">'Iteragency Details'!$M$30</definedName>
    <definedName name="lakintl">'Iteragency Details'!$L$30</definedName>
    <definedName name="LAVCKO">'YTD Calc'!$Z$20</definedName>
    <definedName name="LAVHLD">'YTD Calc'!$AP$20</definedName>
    <definedName name="LDICKO">'YTD Calc'!$Z$21</definedName>
    <definedName name="LDIHLD">'YTD Calc'!$AP$21</definedName>
    <definedName name="MADCKO">'YTD Calc'!$Z$22</definedName>
    <definedName name="MADHLD">'YTD Calc'!$AP$22</definedName>
    <definedName name="madintb">'Iteragency Details'!$M$26</definedName>
    <definedName name="madintl">'Iteragency Details'!$L$26</definedName>
    <definedName name="MARCKO">'YTD Calc'!$Z$23</definedName>
    <definedName name="MARHLD">'YTD Calc'!$AP$23</definedName>
    <definedName name="MAZCKO">'YTD Calc'!$Z$24</definedName>
    <definedName name="MAZHLD">'YTD Calc'!$AP$24</definedName>
    <definedName name="MCFCKO">'YTD Calc'!$Z$25</definedName>
    <definedName name="MCFHLD">'YTD Calc'!$AP$25</definedName>
    <definedName name="MCMCKO">'YTD Calc'!$Z$26</definedName>
    <definedName name="MCMHLD">'YTD Calc'!$AP$26</definedName>
    <definedName name="MEACKO">'YTD Calc'!$Z$27</definedName>
    <definedName name="MEAHLD">'YTD Calc'!$AP$27</definedName>
    <definedName name="meaintb">'Iteragency Details'!$M$31</definedName>
    <definedName name="meaintl">'Iteragency Details'!$L$31</definedName>
    <definedName name="MIDCKO">'YTD Calc'!$Z$28</definedName>
    <definedName name="MIDHLD">'YTD Calc'!$AP$28</definedName>
    <definedName name="MOOCKO">'YTD Calc'!$Z$29</definedName>
    <definedName name="MOOHLD">'YTD Calc'!$AP$29</definedName>
    <definedName name="mplscid">'LINK Summary'!$E$70</definedName>
    <definedName name="MROCKO">'YTD Calc'!$Z$30</definedName>
    <definedName name="MROHLD">'YTD Calc'!$AP$30</definedName>
    <definedName name="MRSCKO">'YTD Calc'!$Z$31</definedName>
    <definedName name="MRSHLD">'YTD Calc'!$AP$31</definedName>
    <definedName name="mrsintb">'Iteragency Details'!$M$36</definedName>
    <definedName name="mrsintl">'Iteragency Details'!$L$36</definedName>
    <definedName name="MSBCKO">'YTD Calc'!$Z$32</definedName>
    <definedName name="MSBHLD">'YTD Calc'!$AP$32</definedName>
    <definedName name="msbintb">'Iteragency Details'!$M$32</definedName>
    <definedName name="msbintl">'Iteragency Details'!$L$32</definedName>
    <definedName name="MTHCKO">'YTD Calc'!$Z$33</definedName>
    <definedName name="MTHHLD">'YTD Calc'!$AP$33</definedName>
    <definedName name="NGLCKO">'YTD Calc'!$Z$34</definedName>
    <definedName name="NGLHLD">'YTD Calc'!$AP$34</definedName>
    <definedName name="NOFCKO">'YTD Calc'!$Z$35</definedName>
    <definedName name="NOFHLD">'YTD Calc'!$AP$35</definedName>
    <definedName name="nonmplscid">'LINK Summary'!$E$56</definedName>
    <definedName name="ORECKO">'YTD Calc'!$Z$36</definedName>
    <definedName name="OREHLD">'YTD Calc'!$AP$36</definedName>
    <definedName name="PARCKO">'YTD Calc'!$Z$37</definedName>
    <definedName name="PARHLD">'YTD Calc'!$AP$37</definedName>
    <definedName name="PDSCKO">'YTD Calc'!$Z$38</definedName>
    <definedName name="PDSHLD">'YTD Calc'!$AP$38</definedName>
    <definedName name="PINCKO">'YTD Calc'!$Z$39</definedName>
    <definedName name="PINHLD">'YTD Calc'!$AP$39</definedName>
    <definedName name="pinintb">'Iteragency Details'!$M$33</definedName>
    <definedName name="pinintl">'Iteragency Details'!$L$33</definedName>
    <definedName name="PLACKO">'YTD Calc'!$Z$40</definedName>
    <definedName name="PLAHLD">'YTD Calc'!$AP$40</definedName>
    <definedName name="PORCKO">'YTD Calc'!$Z$41</definedName>
    <definedName name="PORHLD">'YTD Calc'!$AP$41</definedName>
    <definedName name="POYCKO">'YTD Calc'!$Z$42</definedName>
    <definedName name="POYHLD">'YTD Calc'!$AP$42</definedName>
    <definedName name="_xlnm.Print_Titles" localSheetId="0">'LINK Summary'!$1:$9</definedName>
    <definedName name="REECKO">'YTD Calc'!$Z$43</definedName>
    <definedName name="REEHLD">'YTD Calc'!$AP$43</definedName>
    <definedName name="RKSCKO">'YTD Calc'!$Z$44</definedName>
    <definedName name="RKSHLD">'YTD Calc'!$AP$44</definedName>
    <definedName name="SCACKO">'YTD Calc'!$Z$45</definedName>
    <definedName name="SCAHLD">'YTD Calc'!$AP$45</definedName>
    <definedName name="SCLCKO">'YTD Calc'!$Z$46</definedName>
    <definedName name="SCLHLD">'YTD Calc'!$AP$46</definedName>
    <definedName name="SEQCKO">'YTD Calc'!$Z$47</definedName>
    <definedName name="SEQHLD">'YTD Calc'!$AP$47</definedName>
    <definedName name="seqintb">'Iteragency Details'!$M$34</definedName>
    <definedName name="seqintl">'Iteragency Details'!$L$34</definedName>
    <definedName name="SGRCKO">'YTD Calc'!$Z$48</definedName>
    <definedName name="SGRHLD">'YTD Calc'!$AP$48</definedName>
    <definedName name="SKCCKO">'YTD Calc'!$Z$49</definedName>
    <definedName name="SKCHLD">'YTD Calc'!$AP$49</definedName>
    <definedName name="SMBCKO">'YTD Calc'!$Z$50</definedName>
    <definedName name="SMBHLD">'YTD Calc'!$AP$50</definedName>
    <definedName name="smbintb">'Iteragency Details'!$M$35</definedName>
    <definedName name="smbintl">'Iteragency Details'!$L$35</definedName>
    <definedName name="STOCKO">'YTD Calc'!$Z$51</definedName>
    <definedName name="STOHLD">'YTD Calc'!$AP$51</definedName>
    <definedName name="SUNCKO">'YTD Calc'!$Z$52</definedName>
    <definedName name="SUNHLD">'YTD Calc'!$AP$52</definedName>
    <definedName name="VERCKO">'YTD Calc'!$Z$53</definedName>
    <definedName name="VERHLD">'YTD Calc'!$AP$53</definedName>
    <definedName name="WAUCKO">'YTD Calc'!$Z$54</definedName>
    <definedName name="WAUHLD">'YTD Calc'!$AP$54</definedName>
    <definedName name="WIDCKO">'YTD Calc'!$Z$55</definedName>
    <definedName name="WIDHLD">'YTD Calc'!$AP$55</definedName>
    <definedName name="WYOCKO">'YTD Calc'!$Z$56</definedName>
    <definedName name="WYOHLD">'YTD Calc'!$AP$56</definedName>
    <definedName name="ZZZCKO">'YTD Calc'!$Z$57</definedName>
    <definedName name="ZZZHLD">'YTD Calc'!$AP$57</definedName>
  </definedNames>
  <calcPr fullCalcOnLoad="1"/>
</workbook>
</file>

<file path=xl/comments1.xml><?xml version="1.0" encoding="utf-8"?>
<comments xmlns="http://schemas.openxmlformats.org/spreadsheetml/2006/main">
  <authors>
    <author>sclcweber</author>
  </authors>
  <commentList>
    <comment ref="Q22" authorId="0">
      <text>
        <r>
          <rPr>
            <b/>
            <sz val="8"/>
            <rFont val="Tahoma"/>
            <family val="0"/>
          </rPr>
          <t>sclcweber:</t>
        </r>
        <r>
          <rPr>
            <sz val="8"/>
            <rFont val="Tahoma"/>
            <family val="0"/>
          </rPr>
          <t xml:space="preserve">
Comes off June or July 2012</t>
        </r>
      </text>
    </comment>
    <comment ref="I22" authorId="0">
      <text>
        <r>
          <rPr>
            <b/>
            <sz val="8"/>
            <rFont val="Tahoma"/>
            <family val="0"/>
          </rPr>
          <t>sclcweber:</t>
        </r>
        <r>
          <rPr>
            <sz val="8"/>
            <rFont val="Tahoma"/>
            <family val="0"/>
          </rPr>
          <t xml:space="preserve">
Started Circ in June '11</t>
        </r>
      </text>
    </comment>
    <comment ref="I59" authorId="0">
      <text>
        <r>
          <rPr>
            <b/>
            <sz val="8"/>
            <rFont val="Tahoma"/>
            <family val="0"/>
          </rPr>
          <t>sclcweber:</t>
        </r>
        <r>
          <rPr>
            <sz val="8"/>
            <rFont val="Tahoma"/>
            <family val="0"/>
          </rPr>
          <t xml:space="preserve">
MAD temp location, comes off when MAD renovation finished
</t>
        </r>
      </text>
    </comment>
  </commentList>
</comments>
</file>

<file path=xl/sharedStrings.xml><?xml version="1.0" encoding="utf-8"?>
<sst xmlns="http://schemas.openxmlformats.org/spreadsheetml/2006/main" count="632" uniqueCount="151">
  <si>
    <t>LINK LIBRARY STATISTICS SUMMARY</t>
  </si>
  <si>
    <t>INTERNAL MPL INTERAGENCY DETAIL</t>
  </si>
  <si>
    <t>INTERAGENCY LOANS</t>
  </si>
  <si>
    <t>HOLDS SUMMARY INFORMATION</t>
  </si>
  <si>
    <t>LINK INTERAGENCY</t>
  </si>
  <si>
    <t>ADJUSTED FOR SCID</t>
  </si>
  <si>
    <t>RAW DATA — RMIS</t>
  </si>
  <si>
    <t>AND INTERNAL MPL</t>
  </si>
  <si>
    <t>PERCENT</t>
  </si>
  <si>
    <t>PREVIOUS</t>
  </si>
  <si>
    <t>CKO FROM</t>
  </si>
  <si>
    <t>HOLDS</t>
  </si>
  <si>
    <t>YTD</t>
  </si>
  <si>
    <t>LAST YTD</t>
  </si>
  <si>
    <t>HIGH POINT</t>
  </si>
  <si>
    <t>HAWTHORNE</t>
  </si>
  <si>
    <t>LAKEVIEW</t>
  </si>
  <si>
    <t>MEADOWRIDGE</t>
  </si>
  <si>
    <t>MONROE STREET</t>
  </si>
  <si>
    <t>PINNEY</t>
  </si>
  <si>
    <t>SEQUOYA</t>
  </si>
  <si>
    <t>SOUTH MADISON</t>
  </si>
  <si>
    <t>MRS</t>
  </si>
  <si>
    <t>TOTAL INTERNAL</t>
  </si>
  <si>
    <t>TOTAL</t>
  </si>
  <si>
    <t>SCIDS</t>
  </si>
  <si>
    <t>YEAR TO</t>
  </si>
  <si>
    <t>OWN COLL</t>
  </si>
  <si>
    <t>PLACED</t>
  </si>
  <si>
    <t>OF LINK</t>
  </si>
  <si>
    <t>FILLED</t>
  </si>
  <si>
    <t>CHANGE IN</t>
  </si>
  <si>
    <t>LOAN TO</t>
  </si>
  <si>
    <t>BOR FROM</t>
  </si>
  <si>
    <t>LOANED</t>
  </si>
  <si>
    <t>BORROWED</t>
  </si>
  <si>
    <t>DATE CKO</t>
  </si>
  <si>
    <t>YTD CKO</t>
  </si>
  <si>
    <t>THIS MO</t>
  </si>
  <si>
    <t>YTD HOLDS</t>
  </si>
  <si>
    <t>MAD</t>
  </si>
  <si>
    <t>ACL</t>
  </si>
  <si>
    <t>HPB</t>
  </si>
  <si>
    <t>BAR</t>
  </si>
  <si>
    <t>HAW</t>
  </si>
  <si>
    <t>BER</t>
  </si>
  <si>
    <t>LAK</t>
  </si>
  <si>
    <t>BLV</t>
  </si>
  <si>
    <t>MEA</t>
  </si>
  <si>
    <t>CBR</t>
  </si>
  <si>
    <t>MSB</t>
  </si>
  <si>
    <t>CIA</t>
  </si>
  <si>
    <t>PIN</t>
  </si>
  <si>
    <t>COL</t>
  </si>
  <si>
    <t>SEQ</t>
  </si>
  <si>
    <t>CSP</t>
  </si>
  <si>
    <t>SMB</t>
  </si>
  <si>
    <t>DCL</t>
  </si>
  <si>
    <t>DEE</t>
  </si>
  <si>
    <t>---------</t>
  </si>
  <si>
    <t>DFT</t>
  </si>
  <si>
    <t>LAV</t>
  </si>
  <si>
    <t>LDI</t>
  </si>
  <si>
    <t>MAR</t>
  </si>
  <si>
    <t>MAZ</t>
  </si>
  <si>
    <t>MCF</t>
  </si>
  <si>
    <t>MCM</t>
  </si>
  <si>
    <t>MID</t>
  </si>
  <si>
    <t>MOO</t>
  </si>
  <si>
    <t>MTH</t>
  </si>
  <si>
    <t>NGL</t>
  </si>
  <si>
    <t>NOF</t>
  </si>
  <si>
    <t>ORE</t>
  </si>
  <si>
    <t>PAR</t>
  </si>
  <si>
    <t>PDS</t>
  </si>
  <si>
    <t>PLA</t>
  </si>
  <si>
    <t>POR</t>
  </si>
  <si>
    <t>REE</t>
  </si>
  <si>
    <t>RKS</t>
  </si>
  <si>
    <t>SCA</t>
  </si>
  <si>
    <t>SCL</t>
  </si>
  <si>
    <t>SGR</t>
  </si>
  <si>
    <t>SKC</t>
  </si>
  <si>
    <t>STO</t>
  </si>
  <si>
    <t>SUN</t>
  </si>
  <si>
    <t>VER</t>
  </si>
  <si>
    <t>WAU</t>
  </si>
  <si>
    <t>WID</t>
  </si>
  <si>
    <t>ZZZ</t>
  </si>
  <si>
    <t>DIAL</t>
  </si>
  <si>
    <t>NONMPL</t>
  </si>
  <si>
    <t>TOTAL MPL</t>
  </si>
  <si>
    <t>=========</t>
  </si>
  <si>
    <t>TOTAL LINK</t>
  </si>
  <si>
    <t>--------</t>
  </si>
  <si>
    <t>NA</t>
  </si>
  <si>
    <t>POY</t>
  </si>
  <si>
    <t>WYO</t>
  </si>
  <si>
    <t>BRD</t>
  </si>
  <si>
    <t>MRO</t>
  </si>
  <si>
    <t>FCH</t>
  </si>
  <si>
    <t>LUD</t>
  </si>
  <si>
    <t>YTD Holds Placed</t>
  </si>
  <si>
    <t>Dynix</t>
  </si>
  <si>
    <t>Koha</t>
  </si>
  <si>
    <t>This is wrong somehow...YTD CKO</t>
  </si>
  <si>
    <t>Wrong Total YTD CKO</t>
  </si>
  <si>
    <t>Need to checkTotak YTD Holds</t>
  </si>
  <si>
    <t>Dynix and Koha Total YTD CKO</t>
  </si>
  <si>
    <t>Koha Apr holds</t>
  </si>
  <si>
    <t>Koha May holds</t>
  </si>
  <si>
    <t>Total Koha holds placed</t>
  </si>
  <si>
    <t>Dynix and Koha total YTD Holds placed</t>
  </si>
  <si>
    <t>This is also wrongYTD Holds</t>
  </si>
  <si>
    <t>Koha apr cko</t>
  </si>
  <si>
    <t>koha may cko</t>
  </si>
  <si>
    <t>Koha YTD cko</t>
  </si>
  <si>
    <t>koha june cko</t>
  </si>
  <si>
    <t>koha June holds</t>
  </si>
  <si>
    <t>koha july cko</t>
  </si>
  <si>
    <t>Koha July holds</t>
  </si>
  <si>
    <t>Koha August Holds</t>
  </si>
  <si>
    <t>Koha August CKO</t>
  </si>
  <si>
    <t>Koha Sept CKO</t>
  </si>
  <si>
    <t>Koha Sept Holds</t>
  </si>
  <si>
    <t>Koha Oct CKO</t>
  </si>
  <si>
    <t>Koha Oct Holds</t>
  </si>
  <si>
    <t>CEN</t>
  </si>
  <si>
    <t>Koha Nov CKO</t>
  </si>
  <si>
    <t>Koha Nov Holds</t>
  </si>
  <si>
    <t>MADISON (MAD)</t>
  </si>
  <si>
    <t>Madison (CEN)</t>
  </si>
  <si>
    <t>Koha Dec CKO</t>
  </si>
  <si>
    <t>THIS YR</t>
  </si>
  <si>
    <t>Koha Dec Holds</t>
  </si>
  <si>
    <t>Koha Holds Filled Apr</t>
  </si>
  <si>
    <t>Koha Holds Filled May</t>
  </si>
  <si>
    <t>Koha Holds Filled June</t>
  </si>
  <si>
    <t>Koha Holds Filled July</t>
  </si>
  <si>
    <t>Koha Holds filled August</t>
  </si>
  <si>
    <t>Koha Holds Filled Sept</t>
  </si>
  <si>
    <t>Koha Holds Filled Oct</t>
  </si>
  <si>
    <t>Koha Holds Filled Nov</t>
  </si>
  <si>
    <t>Koha Holds Filled Dec</t>
  </si>
  <si>
    <t>Dynix Holds Filled Mar</t>
  </si>
  <si>
    <t>Dynix Holds Filled Feb</t>
  </si>
  <si>
    <t>Dynix Holds Filled Jan</t>
  </si>
  <si>
    <t>Dynix Holds Filled Apr</t>
  </si>
  <si>
    <t>YTD Holds Filled</t>
  </si>
  <si>
    <t>Annual 2011</t>
  </si>
  <si>
    <t xml:space="preserve"> CHANGE IN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</si>
</sst>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6">
    <font>
      <sz val="10"/>
      <name val="Arial"/>
      <family val="0"/>
    </font>
    <font>
      <sz val="8"/>
      <name val="Courier New"/>
      <family val="3"/>
    </font>
    <font>
      <b/>
      <sz val="8"/>
      <name val="Courier New"/>
      <family val="3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right"/>
    </xf>
    <xf numFmtId="1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10" fontId="1" fillId="0" borderId="12" xfId="0" applyNumberFormat="1" applyFont="1" applyBorder="1" applyAlignment="1">
      <alignment horizontal="right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 horizontal="right"/>
    </xf>
    <xf numFmtId="0" fontId="1" fillId="0" borderId="0" xfId="0" applyFont="1" applyBorder="1" applyAlignment="1" quotePrefix="1">
      <alignment horizontal="right"/>
    </xf>
    <xf numFmtId="10" fontId="1" fillId="0" borderId="0" xfId="0" applyNumberFormat="1" applyFont="1" applyAlignment="1" quotePrefix="1">
      <alignment horizontal="right"/>
    </xf>
    <xf numFmtId="0" fontId="1" fillId="0" borderId="10" xfId="0" applyFont="1" applyBorder="1" applyAlignment="1" quotePrefix="1">
      <alignment horizontal="right"/>
    </xf>
    <xf numFmtId="10" fontId="1" fillId="0" borderId="0" xfId="0" applyNumberFormat="1" applyFont="1" applyBorder="1" applyAlignment="1" quotePrefix="1">
      <alignment horizontal="right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 quotePrefix="1">
      <alignment horizontal="right"/>
    </xf>
    <xf numFmtId="0" fontId="1" fillId="0" borderId="15" xfId="0" applyFont="1" applyBorder="1" applyAlignment="1" quotePrefix="1">
      <alignment horizontal="right"/>
    </xf>
    <xf numFmtId="0" fontId="1" fillId="0" borderId="0" xfId="0" applyFont="1" applyFill="1" applyAlignment="1">
      <alignment/>
    </xf>
    <xf numFmtId="0" fontId="1" fillId="0" borderId="12" xfId="0" applyFont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 quotePrefix="1">
      <alignment horizontal="right"/>
      <protection/>
    </xf>
    <xf numFmtId="0" fontId="1" fillId="0" borderId="11" xfId="0" applyFont="1" applyBorder="1" applyAlignment="1" applyProtection="1" quotePrefix="1">
      <alignment horizontal="right"/>
      <protection/>
    </xf>
    <xf numFmtId="0" fontId="1" fillId="0" borderId="12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1" fillId="0" borderId="19" xfId="0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4" fillId="0" borderId="0" xfId="0" applyFont="1" applyAlignment="1">
      <alignment horizontal="right" vertical="top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2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Alignment="1">
      <alignment horizontal="left"/>
    </xf>
    <xf numFmtId="0" fontId="1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showGridLines="0" tabSelected="1" zoomScalePageLayoutView="0" workbookViewId="0" topLeftCell="D1">
      <selection activeCell="E10" sqref="E10"/>
    </sheetView>
  </sheetViews>
  <sheetFormatPr defaultColWidth="9.140625" defaultRowHeight="11.25" customHeight="1"/>
  <cols>
    <col min="1" max="2" width="10.00390625" style="1" hidden="1" customWidth="1"/>
    <col min="3" max="3" width="7.421875" style="1" hidden="1" customWidth="1"/>
    <col min="4" max="9" width="9.7109375" style="2" customWidth="1"/>
    <col min="10" max="11" width="9.7109375" style="3" customWidth="1"/>
    <col min="12" max="12" width="9.7109375" style="2" customWidth="1"/>
    <col min="13" max="13" width="9.7109375" style="3" customWidth="1"/>
    <col min="14" max="14" width="9.7109375" style="2" customWidth="1"/>
    <col min="15" max="15" width="9.7109375" style="2" hidden="1" customWidth="1"/>
    <col min="16" max="16" width="9.7109375" style="2" customWidth="1"/>
    <col min="17" max="17" width="9.7109375" style="3" customWidth="1"/>
    <col min="18" max="18" width="9.140625" style="1" customWidth="1"/>
    <col min="19" max="41" width="9.421875" style="1" customWidth="1"/>
    <col min="42" max="16384" width="9.140625" style="1" customWidth="1"/>
  </cols>
  <sheetData>
    <row r="1" spans="5:10" ht="11.25">
      <c r="E1" s="60" t="s">
        <v>0</v>
      </c>
      <c r="F1" s="61"/>
      <c r="G1" s="61"/>
      <c r="H1" s="61"/>
      <c r="I1" s="62" t="s">
        <v>149</v>
      </c>
      <c r="J1" s="63"/>
    </row>
    <row r="3" spans="6:15" ht="11.25">
      <c r="F3" s="56" t="s">
        <v>2</v>
      </c>
      <c r="G3" s="57"/>
      <c r="H3" s="64"/>
      <c r="I3" s="64"/>
      <c r="J3" s="59"/>
      <c r="L3" s="58" t="s">
        <v>3</v>
      </c>
      <c r="M3" s="59"/>
      <c r="N3" s="59"/>
      <c r="O3" s="59"/>
    </row>
    <row r="4" spans="1:15" ht="11.25">
      <c r="A4" s="55" t="s">
        <v>4</v>
      </c>
      <c r="B4" s="55"/>
      <c r="F4" s="56" t="s">
        <v>5</v>
      </c>
      <c r="G4" s="57"/>
      <c r="L4" s="4"/>
      <c r="M4" s="5"/>
      <c r="N4" s="6"/>
      <c r="O4" s="6"/>
    </row>
    <row r="5" spans="1:15" ht="11.25">
      <c r="A5" s="55" t="s">
        <v>6</v>
      </c>
      <c r="B5" s="55"/>
      <c r="F5" s="56" t="s">
        <v>7</v>
      </c>
      <c r="G5" s="57"/>
      <c r="K5" s="3" t="s">
        <v>8</v>
      </c>
      <c r="L5" s="4"/>
      <c r="M5" s="5"/>
      <c r="N5" s="6"/>
      <c r="O5" s="6"/>
    </row>
    <row r="6" spans="6:17" ht="11.25">
      <c r="F6" s="6"/>
      <c r="G6" s="7"/>
      <c r="I6" s="2" t="s">
        <v>9</v>
      </c>
      <c r="J6" s="3" t="s">
        <v>8</v>
      </c>
      <c r="K6" s="3" t="s">
        <v>10</v>
      </c>
      <c r="L6" s="4" t="s">
        <v>11</v>
      </c>
      <c r="M6" s="5" t="s">
        <v>8</v>
      </c>
      <c r="N6" s="6" t="s">
        <v>11</v>
      </c>
      <c r="O6" s="6" t="s">
        <v>12</v>
      </c>
      <c r="P6" s="2" t="s">
        <v>13</v>
      </c>
      <c r="Q6" s="3" t="s">
        <v>8</v>
      </c>
    </row>
    <row r="7" spans="1:17" ht="11.25">
      <c r="A7" s="1" t="s">
        <v>24</v>
      </c>
      <c r="B7" s="1" t="s">
        <v>24</v>
      </c>
      <c r="E7" s="2" t="s">
        <v>25</v>
      </c>
      <c r="F7" s="6" t="s">
        <v>24</v>
      </c>
      <c r="G7" s="7" t="s">
        <v>24</v>
      </c>
      <c r="H7" s="2" t="s">
        <v>26</v>
      </c>
      <c r="I7" s="2" t="s">
        <v>26</v>
      </c>
      <c r="J7" s="3" t="s">
        <v>150</v>
      </c>
      <c r="K7" s="3" t="s">
        <v>27</v>
      </c>
      <c r="L7" s="4" t="s">
        <v>28</v>
      </c>
      <c r="M7" s="5" t="s">
        <v>29</v>
      </c>
      <c r="N7" s="6" t="s">
        <v>30</v>
      </c>
      <c r="O7" s="6" t="s">
        <v>11</v>
      </c>
      <c r="P7" s="2" t="s">
        <v>11</v>
      </c>
      <c r="Q7" s="3" t="s">
        <v>31</v>
      </c>
    </row>
    <row r="8" spans="1:17" ht="11.25">
      <c r="A8" s="1" t="s">
        <v>34</v>
      </c>
      <c r="B8" s="1" t="s">
        <v>35</v>
      </c>
      <c r="E8" s="2" t="s">
        <v>35</v>
      </c>
      <c r="F8" s="6" t="s">
        <v>34</v>
      </c>
      <c r="G8" s="7" t="s">
        <v>35</v>
      </c>
      <c r="H8" s="2" t="s">
        <v>36</v>
      </c>
      <c r="I8" s="2" t="s">
        <v>36</v>
      </c>
      <c r="J8" s="3" t="s">
        <v>37</v>
      </c>
      <c r="K8" s="3" t="s">
        <v>38</v>
      </c>
      <c r="L8" s="4" t="s">
        <v>133</v>
      </c>
      <c r="M8" s="5" t="s">
        <v>11</v>
      </c>
      <c r="N8" s="6" t="s">
        <v>133</v>
      </c>
      <c r="O8" s="6" t="s">
        <v>28</v>
      </c>
      <c r="P8" s="2" t="s">
        <v>28</v>
      </c>
      <c r="Q8" s="3" t="s">
        <v>39</v>
      </c>
    </row>
    <row r="9" spans="6:15" ht="11.25">
      <c r="F9" s="6"/>
      <c r="G9" s="7"/>
      <c r="L9" s="4"/>
      <c r="M9" s="5"/>
      <c r="N9" s="6"/>
      <c r="O9" s="6"/>
    </row>
    <row r="10" spans="1:17" ht="11.25" customHeight="1">
      <c r="A10" s="48">
        <v>37158</v>
      </c>
      <c r="B10" s="48">
        <v>38421</v>
      </c>
      <c r="D10" s="8" t="s">
        <v>41</v>
      </c>
      <c r="E10" s="31">
        <v>200</v>
      </c>
      <c r="F10" s="25">
        <f>A10</f>
        <v>37158</v>
      </c>
      <c r="G10" s="26">
        <f>B10</f>
        <v>38421</v>
      </c>
      <c r="H10" s="25">
        <f>ACLCKO</f>
        <v>113566</v>
      </c>
      <c r="I10" s="31">
        <v>113667</v>
      </c>
      <c r="J10" s="9">
        <f>(H10-I10)/I10</f>
        <v>-0.0008885604441042695</v>
      </c>
      <c r="K10" s="9">
        <f aca="true" t="shared" si="0" ref="K10:K53">(H10-G10)/H10</f>
        <v>0.6616857157952204</v>
      </c>
      <c r="L10" s="34">
        <v>27494</v>
      </c>
      <c r="M10" s="9">
        <f>L10/allholds</f>
        <v>0.0074907346635967025</v>
      </c>
      <c r="N10" s="31">
        <v>29084</v>
      </c>
      <c r="O10" s="25">
        <f>ACLHLD</f>
        <v>27494</v>
      </c>
      <c r="P10" s="31">
        <v>13825</v>
      </c>
      <c r="Q10" s="9">
        <f aca="true" t="shared" si="1" ref="Q10:Q21">(O10-P10)/P10</f>
        <v>0.9887160940325497</v>
      </c>
    </row>
    <row r="11" spans="1:17" ht="11.25">
      <c r="A11" s="48">
        <v>70077</v>
      </c>
      <c r="B11" s="48">
        <v>84291</v>
      </c>
      <c r="D11" s="2" t="s">
        <v>43</v>
      </c>
      <c r="E11" s="32">
        <v>758</v>
      </c>
      <c r="F11" s="27">
        <f aca="true" t="shared" si="2" ref="F11:G54">A11</f>
        <v>70077</v>
      </c>
      <c r="G11" s="28">
        <f t="shared" si="2"/>
        <v>84291</v>
      </c>
      <c r="H11" s="27">
        <f>BARCKO</f>
        <v>254156</v>
      </c>
      <c r="I11" s="32">
        <v>267677</v>
      </c>
      <c r="J11" s="3">
        <f>(H11-I11)/I11</f>
        <v>-0.05051237125341363</v>
      </c>
      <c r="K11" s="3">
        <f t="shared" si="0"/>
        <v>0.668349360235446</v>
      </c>
      <c r="L11" s="35">
        <v>66320</v>
      </c>
      <c r="M11" s="5">
        <f aca="true" t="shared" si="3" ref="M11:M54">L11/allholds</f>
        <v>0.018068870404078466</v>
      </c>
      <c r="N11" s="36">
        <v>71108</v>
      </c>
      <c r="O11" s="27">
        <f>BARHLD</f>
        <v>66320</v>
      </c>
      <c r="P11" s="32">
        <v>21010</v>
      </c>
      <c r="Q11" s="3">
        <f t="shared" si="1"/>
        <v>2.156592099000476</v>
      </c>
    </row>
    <row r="12" spans="1:17" ht="11.25">
      <c r="A12" s="48">
        <v>25831</v>
      </c>
      <c r="B12" s="48">
        <v>15869</v>
      </c>
      <c r="D12" s="2" t="s">
        <v>45</v>
      </c>
      <c r="E12" s="32">
        <v>93</v>
      </c>
      <c r="F12" s="27">
        <f t="shared" si="2"/>
        <v>25831</v>
      </c>
      <c r="G12" s="28">
        <f t="shared" si="2"/>
        <v>15869</v>
      </c>
      <c r="H12" s="27">
        <f>BERCKO</f>
        <v>44291</v>
      </c>
      <c r="I12" s="32">
        <v>44194</v>
      </c>
      <c r="J12" s="3">
        <f aca="true" t="shared" si="4" ref="J12:J53">(H12-I12)/I12</f>
        <v>0.0021948680816400415</v>
      </c>
      <c r="K12" s="3">
        <f t="shared" si="0"/>
        <v>0.6417105055203088</v>
      </c>
      <c r="L12" s="35">
        <v>10661</v>
      </c>
      <c r="M12" s="5">
        <f t="shared" si="3"/>
        <v>0.002904587264443313</v>
      </c>
      <c r="N12" s="36">
        <v>12296</v>
      </c>
      <c r="O12" s="27">
        <f>BERHLD</f>
        <v>10661</v>
      </c>
      <c r="P12" s="32">
        <v>3222</v>
      </c>
      <c r="Q12" s="3">
        <f t="shared" si="1"/>
        <v>2.308814400993172</v>
      </c>
    </row>
    <row r="13" spans="1:17" ht="11.25">
      <c r="A13" s="48">
        <v>51846</v>
      </c>
      <c r="B13" s="48">
        <v>28464</v>
      </c>
      <c r="D13" s="8" t="s">
        <v>47</v>
      </c>
      <c r="E13" s="31">
        <v>239</v>
      </c>
      <c r="F13" s="25">
        <f t="shared" si="2"/>
        <v>51846</v>
      </c>
      <c r="G13" s="26">
        <f t="shared" si="2"/>
        <v>28464</v>
      </c>
      <c r="H13" s="25">
        <f>BLVCKO</f>
        <v>85256</v>
      </c>
      <c r="I13" s="31">
        <v>86202</v>
      </c>
      <c r="J13" s="9">
        <f t="shared" si="4"/>
        <v>-0.010974223335885479</v>
      </c>
      <c r="K13" s="9">
        <f t="shared" si="0"/>
        <v>0.6661349347846486</v>
      </c>
      <c r="L13" s="34">
        <v>21174</v>
      </c>
      <c r="M13" s="9">
        <f t="shared" si="3"/>
        <v>0.005768851959227344</v>
      </c>
      <c r="N13" s="31">
        <v>22386</v>
      </c>
      <c r="O13" s="25">
        <f>BLVHLD</f>
        <v>21174</v>
      </c>
      <c r="P13" s="31">
        <v>4948</v>
      </c>
      <c r="Q13" s="9">
        <f t="shared" si="1"/>
        <v>3.2793047696038804</v>
      </c>
    </row>
    <row r="14" spans="1:17" ht="11.25">
      <c r="A14" s="48">
        <v>46364</v>
      </c>
      <c r="B14" s="48">
        <v>18133</v>
      </c>
      <c r="D14" s="6" t="s">
        <v>98</v>
      </c>
      <c r="E14" s="36">
        <v>179</v>
      </c>
      <c r="F14" s="27">
        <f t="shared" si="2"/>
        <v>46364</v>
      </c>
      <c r="G14" s="28">
        <f t="shared" si="2"/>
        <v>18133</v>
      </c>
      <c r="H14" s="27">
        <f>BRDCKO</f>
        <v>81328</v>
      </c>
      <c r="I14" s="36">
        <v>83415</v>
      </c>
      <c r="J14" s="5">
        <f t="shared" si="4"/>
        <v>-0.025019480908709466</v>
      </c>
      <c r="K14" s="3">
        <f t="shared" si="0"/>
        <v>0.7770386582726736</v>
      </c>
      <c r="L14" s="35">
        <v>15041</v>
      </c>
      <c r="M14" s="5">
        <f t="shared" si="3"/>
        <v>0.004097917366522078</v>
      </c>
      <c r="N14" s="36">
        <v>15569</v>
      </c>
      <c r="O14" s="27">
        <f>BRDHLD</f>
        <v>15041</v>
      </c>
      <c r="P14" s="36">
        <v>6555</v>
      </c>
      <c r="Q14" s="5">
        <f t="shared" si="1"/>
        <v>1.2945842868039665</v>
      </c>
    </row>
    <row r="15" spans="1:17" ht="11.25">
      <c r="A15" s="48">
        <v>25114</v>
      </c>
      <c r="B15" s="48">
        <v>26370</v>
      </c>
      <c r="D15" s="2" t="s">
        <v>49</v>
      </c>
      <c r="E15" s="32">
        <v>231</v>
      </c>
      <c r="F15" s="27">
        <f t="shared" si="2"/>
        <v>25114</v>
      </c>
      <c r="G15" s="28">
        <f t="shared" si="2"/>
        <v>26370</v>
      </c>
      <c r="H15" s="27">
        <f>CBRCKO</f>
        <v>67381</v>
      </c>
      <c r="I15" s="32">
        <v>67569</v>
      </c>
      <c r="J15" s="3">
        <f t="shared" si="4"/>
        <v>-0.0027823410143704955</v>
      </c>
      <c r="K15" s="3">
        <f t="shared" si="0"/>
        <v>0.6086433861177484</v>
      </c>
      <c r="L15" s="35">
        <v>19271</v>
      </c>
      <c r="M15" s="5">
        <f t="shared" si="3"/>
        <v>0.00525037999935157</v>
      </c>
      <c r="N15" s="36">
        <v>19836</v>
      </c>
      <c r="O15" s="27">
        <f>CBRHLD</f>
        <v>19271</v>
      </c>
      <c r="P15" s="32">
        <v>5173</v>
      </c>
      <c r="Q15" s="3">
        <f t="shared" si="1"/>
        <v>2.7253044654939105</v>
      </c>
    </row>
    <row r="16" spans="1:17" ht="11.25">
      <c r="A16" s="48">
        <v>9280</v>
      </c>
      <c r="B16" s="48">
        <v>11788</v>
      </c>
      <c r="D16" s="8" t="s">
        <v>51</v>
      </c>
      <c r="E16" s="31">
        <v>95</v>
      </c>
      <c r="F16" s="25">
        <f t="shared" si="2"/>
        <v>9280</v>
      </c>
      <c r="G16" s="26">
        <f t="shared" si="2"/>
        <v>11788</v>
      </c>
      <c r="H16" s="25">
        <f>CIACKO</f>
        <v>29702</v>
      </c>
      <c r="I16" s="31">
        <v>28381</v>
      </c>
      <c r="J16" s="9">
        <f t="shared" si="4"/>
        <v>0.046545223917409534</v>
      </c>
      <c r="K16" s="9">
        <f t="shared" si="0"/>
        <v>0.6031243687293785</v>
      </c>
      <c r="L16" s="34">
        <v>7804</v>
      </c>
      <c r="M16" s="9">
        <f t="shared" si="3"/>
        <v>0.0021261982001421643</v>
      </c>
      <c r="N16" s="31">
        <v>7705</v>
      </c>
      <c r="O16" s="25">
        <f>CIAHLD</f>
        <v>7804</v>
      </c>
      <c r="P16" s="31">
        <v>4352</v>
      </c>
      <c r="Q16" s="9">
        <f t="shared" si="1"/>
        <v>0.7931985294117647</v>
      </c>
    </row>
    <row r="17" spans="1:17" ht="11.25">
      <c r="A17" s="48">
        <v>47201</v>
      </c>
      <c r="B17" s="48">
        <v>32751</v>
      </c>
      <c r="D17" s="6" t="s">
        <v>53</v>
      </c>
      <c r="E17" s="36">
        <v>256</v>
      </c>
      <c r="F17" s="27">
        <f t="shared" si="2"/>
        <v>47201</v>
      </c>
      <c r="G17" s="28">
        <f t="shared" si="2"/>
        <v>32751</v>
      </c>
      <c r="H17" s="27">
        <f>COLCKO</f>
        <v>116607</v>
      </c>
      <c r="I17" s="36">
        <v>120672</v>
      </c>
      <c r="J17" s="5">
        <f t="shared" si="4"/>
        <v>-0.033686356404136836</v>
      </c>
      <c r="K17" s="3">
        <f t="shared" si="0"/>
        <v>0.7191334997041344</v>
      </c>
      <c r="L17" s="35">
        <v>26524</v>
      </c>
      <c r="M17" s="5">
        <f t="shared" si="3"/>
        <v>0.0072264583624514055</v>
      </c>
      <c r="N17" s="36">
        <v>28398</v>
      </c>
      <c r="O17" s="27">
        <f>COLHLD</f>
        <v>26524</v>
      </c>
      <c r="P17" s="36">
        <v>9092</v>
      </c>
      <c r="Q17" s="5">
        <f t="shared" si="1"/>
        <v>1.917289925208975</v>
      </c>
    </row>
    <row r="18" spans="1:17" ht="11.25">
      <c r="A18" s="48">
        <v>43642</v>
      </c>
      <c r="B18" s="48">
        <v>25323</v>
      </c>
      <c r="D18" s="2" t="s">
        <v>55</v>
      </c>
      <c r="E18" s="32">
        <v>250</v>
      </c>
      <c r="F18" s="27">
        <f t="shared" si="2"/>
        <v>43642</v>
      </c>
      <c r="G18" s="28">
        <f t="shared" si="2"/>
        <v>25323</v>
      </c>
      <c r="H18" s="27">
        <f>CSPCKO</f>
        <v>95874</v>
      </c>
      <c r="I18" s="32">
        <v>98752</v>
      </c>
      <c r="J18" s="3">
        <f t="shared" si="4"/>
        <v>-0.029143713545042124</v>
      </c>
      <c r="K18" s="3">
        <f t="shared" si="0"/>
        <v>0.7358720821077664</v>
      </c>
      <c r="L18" s="35">
        <v>19333</v>
      </c>
      <c r="M18" s="5">
        <f t="shared" si="3"/>
        <v>0.005267271886641269</v>
      </c>
      <c r="N18" s="36">
        <v>20535</v>
      </c>
      <c r="O18" s="27">
        <f>CSPHLD</f>
        <v>19333</v>
      </c>
      <c r="P18" s="32">
        <v>3421</v>
      </c>
      <c r="Q18" s="3">
        <f t="shared" si="1"/>
        <v>4.65127155802397</v>
      </c>
    </row>
    <row r="19" spans="1:17" ht="11.25">
      <c r="A19" s="48">
        <v>50214</v>
      </c>
      <c r="B19" s="48">
        <v>30863</v>
      </c>
      <c r="D19" s="8" t="s">
        <v>57</v>
      </c>
      <c r="E19" s="31">
        <v>194</v>
      </c>
      <c r="F19" s="25">
        <f t="shared" si="2"/>
        <v>50214</v>
      </c>
      <c r="G19" s="26">
        <f t="shared" si="2"/>
        <v>30863</v>
      </c>
      <c r="H19" s="25">
        <f>DCLCKO</f>
        <v>151392</v>
      </c>
      <c r="I19" s="31">
        <v>174165</v>
      </c>
      <c r="J19" s="9">
        <f t="shared" si="4"/>
        <v>-0.13075531823271036</v>
      </c>
      <c r="K19" s="9">
        <f t="shared" si="0"/>
        <v>0.7961385013739167</v>
      </c>
      <c r="L19" s="34">
        <v>19663</v>
      </c>
      <c r="M19" s="9">
        <f t="shared" si="3"/>
        <v>0.005357180318989669</v>
      </c>
      <c r="N19" s="31">
        <v>22342</v>
      </c>
      <c r="O19" s="25">
        <f>DCLHLD</f>
        <v>19663</v>
      </c>
      <c r="P19" s="31">
        <v>5318</v>
      </c>
      <c r="Q19" s="9">
        <f t="shared" si="1"/>
        <v>2.6974426476118842</v>
      </c>
    </row>
    <row r="20" spans="1:17" ht="11.25">
      <c r="A20" s="48">
        <v>23591</v>
      </c>
      <c r="B20" s="48">
        <v>33203</v>
      </c>
      <c r="D20" s="6" t="s">
        <v>58</v>
      </c>
      <c r="E20" s="36">
        <v>351</v>
      </c>
      <c r="F20" s="27">
        <f t="shared" si="2"/>
        <v>23591</v>
      </c>
      <c r="G20" s="28">
        <f t="shared" si="2"/>
        <v>33203</v>
      </c>
      <c r="H20" s="27">
        <f>DEECKO</f>
        <v>61636</v>
      </c>
      <c r="I20" s="36">
        <v>64944</v>
      </c>
      <c r="J20" s="5">
        <f t="shared" si="4"/>
        <v>-0.05093619118009362</v>
      </c>
      <c r="K20" s="3">
        <f t="shared" si="0"/>
        <v>0.46130508144590826</v>
      </c>
      <c r="L20" s="35">
        <v>23755</v>
      </c>
      <c r="M20" s="5">
        <f t="shared" si="3"/>
        <v>0.00647204488010983</v>
      </c>
      <c r="N20" s="36">
        <v>24253</v>
      </c>
      <c r="O20" s="27">
        <f>DEEHLD</f>
        <v>23755</v>
      </c>
      <c r="P20" s="36">
        <v>7021</v>
      </c>
      <c r="Q20" s="5">
        <f t="shared" si="1"/>
        <v>2.3834211650762</v>
      </c>
    </row>
    <row r="21" spans="1:17" ht="11.25">
      <c r="A21" s="48">
        <v>115265</v>
      </c>
      <c r="B21" s="48">
        <v>79379</v>
      </c>
      <c r="D21" s="2" t="s">
        <v>60</v>
      </c>
      <c r="E21" s="32">
        <v>926</v>
      </c>
      <c r="F21" s="27">
        <f t="shared" si="2"/>
        <v>115265</v>
      </c>
      <c r="G21" s="28">
        <f t="shared" si="2"/>
        <v>79379</v>
      </c>
      <c r="H21" s="27">
        <f>DFTCKO</f>
        <v>421941</v>
      </c>
      <c r="I21" s="32">
        <v>433168</v>
      </c>
      <c r="J21" s="3">
        <f t="shared" si="4"/>
        <v>-0.025918350385993424</v>
      </c>
      <c r="K21" s="3">
        <f t="shared" si="0"/>
        <v>0.8118718019817937</v>
      </c>
      <c r="L21" s="35">
        <v>63801</v>
      </c>
      <c r="M21" s="5">
        <f t="shared" si="3"/>
        <v>0.017382569370485677</v>
      </c>
      <c r="N21" s="36">
        <v>69012</v>
      </c>
      <c r="O21" s="27">
        <f>DFTHLD</f>
        <v>63801</v>
      </c>
      <c r="P21" s="32">
        <v>18587</v>
      </c>
      <c r="Q21" s="3">
        <f t="shared" si="1"/>
        <v>2.4325603916715983</v>
      </c>
    </row>
    <row r="22" spans="1:17" ht="11.25">
      <c r="A22" s="48">
        <v>45475</v>
      </c>
      <c r="B22" s="48">
        <v>30462</v>
      </c>
      <c r="D22" s="8" t="s">
        <v>100</v>
      </c>
      <c r="E22" s="31">
        <v>212</v>
      </c>
      <c r="F22" s="25">
        <f t="shared" si="2"/>
        <v>45475</v>
      </c>
      <c r="G22" s="26">
        <f t="shared" si="2"/>
        <v>30462</v>
      </c>
      <c r="H22" s="25">
        <f>FCHCKO</f>
        <v>158421</v>
      </c>
      <c r="I22" s="31" t="s">
        <v>95</v>
      </c>
      <c r="J22" s="9" t="s">
        <v>95</v>
      </c>
      <c r="K22" s="9">
        <f t="shared" si="0"/>
        <v>0.8077148862840153</v>
      </c>
      <c r="L22" s="34">
        <v>35817</v>
      </c>
      <c r="M22" s="9">
        <f t="shared" si="3"/>
        <v>0.00975833430734135</v>
      </c>
      <c r="N22" s="31">
        <v>25665</v>
      </c>
      <c r="O22" s="25">
        <f>FCHHLD</f>
        <v>35817</v>
      </c>
      <c r="P22" s="31" t="s">
        <v>95</v>
      </c>
      <c r="Q22" s="9" t="s">
        <v>95</v>
      </c>
    </row>
    <row r="23" spans="1:17" ht="11.25">
      <c r="A23" s="48">
        <v>2593</v>
      </c>
      <c r="B23" s="48">
        <v>6236</v>
      </c>
      <c r="D23" s="6" t="s">
        <v>61</v>
      </c>
      <c r="E23" s="36">
        <v>20</v>
      </c>
      <c r="F23" s="27">
        <f t="shared" si="2"/>
        <v>2593</v>
      </c>
      <c r="G23" s="28">
        <f t="shared" si="2"/>
        <v>6236</v>
      </c>
      <c r="H23" s="27">
        <f>LAVCKO</f>
        <v>11331</v>
      </c>
      <c r="I23" s="36">
        <v>5339</v>
      </c>
      <c r="J23" s="5">
        <f t="shared" si="4"/>
        <v>1.1223075482300056</v>
      </c>
      <c r="K23" s="3">
        <f t="shared" si="0"/>
        <v>0.44965139881740357</v>
      </c>
      <c r="L23" s="35">
        <v>3592</v>
      </c>
      <c r="M23" s="5">
        <f t="shared" si="3"/>
        <v>0.0009786396636225852</v>
      </c>
      <c r="N23" s="36">
        <v>3713</v>
      </c>
      <c r="O23" s="27">
        <f>LAVHLD</f>
        <v>3592</v>
      </c>
      <c r="P23" s="36">
        <v>315</v>
      </c>
      <c r="Q23" s="5">
        <f aca="true" t="shared" si="5" ref="Q23:Q54">(O23-P23)/P23</f>
        <v>10.403174603174604</v>
      </c>
    </row>
    <row r="24" spans="1:17" ht="11.25">
      <c r="A24" s="48">
        <v>29571</v>
      </c>
      <c r="B24" s="48">
        <v>39625</v>
      </c>
      <c r="D24" s="6" t="s">
        <v>62</v>
      </c>
      <c r="E24" s="36">
        <v>443</v>
      </c>
      <c r="F24" s="27">
        <f t="shared" si="2"/>
        <v>29571</v>
      </c>
      <c r="G24" s="28">
        <f t="shared" si="2"/>
        <v>39625</v>
      </c>
      <c r="H24" s="27">
        <f>LDICKO</f>
        <v>95297</v>
      </c>
      <c r="I24" s="36">
        <v>102137</v>
      </c>
      <c r="J24" s="5">
        <f t="shared" si="4"/>
        <v>-0.06696887513829464</v>
      </c>
      <c r="K24" s="3">
        <f t="shared" si="0"/>
        <v>0.5841946755931456</v>
      </c>
      <c r="L24" s="35">
        <v>28658</v>
      </c>
      <c r="M24" s="5">
        <f t="shared" si="3"/>
        <v>0.007807866224971059</v>
      </c>
      <c r="N24" s="36">
        <v>31642</v>
      </c>
      <c r="O24" s="27">
        <f>LDIHLD</f>
        <v>28658</v>
      </c>
      <c r="P24" s="36">
        <v>5927</v>
      </c>
      <c r="Q24" s="5">
        <f t="shared" si="5"/>
        <v>3.835161127045723</v>
      </c>
    </row>
    <row r="25" spans="1:17" ht="11.25">
      <c r="A25" s="48">
        <v>40363</v>
      </c>
      <c r="B25" s="48">
        <v>19431</v>
      </c>
      <c r="D25" s="8" t="s">
        <v>63</v>
      </c>
      <c r="E25" s="31">
        <v>172</v>
      </c>
      <c r="F25" s="25">
        <f t="shared" si="2"/>
        <v>40363</v>
      </c>
      <c r="G25" s="26">
        <f t="shared" si="2"/>
        <v>19431</v>
      </c>
      <c r="H25" s="25">
        <f>MARCKO</f>
        <v>60839</v>
      </c>
      <c r="I25" s="31">
        <v>58911</v>
      </c>
      <c r="J25" s="9">
        <f t="shared" si="4"/>
        <v>0.0327273344536674</v>
      </c>
      <c r="K25" s="9">
        <f t="shared" si="0"/>
        <v>0.6806160522033564</v>
      </c>
      <c r="L25" s="34">
        <v>15129</v>
      </c>
      <c r="M25" s="9">
        <f t="shared" si="3"/>
        <v>0.004121892948481651</v>
      </c>
      <c r="N25" s="31">
        <v>25602</v>
      </c>
      <c r="O25" s="25">
        <f>MARHLD</f>
        <v>15129</v>
      </c>
      <c r="P25" s="31">
        <v>4351</v>
      </c>
      <c r="Q25" s="9">
        <f t="shared" si="5"/>
        <v>2.4771316938634795</v>
      </c>
    </row>
    <row r="26" spans="1:17" ht="11.25">
      <c r="A26" s="48">
        <v>23202</v>
      </c>
      <c r="B26" s="48">
        <v>17710</v>
      </c>
      <c r="D26" s="6" t="s">
        <v>64</v>
      </c>
      <c r="E26" s="36">
        <v>185</v>
      </c>
      <c r="F26" s="27">
        <f t="shared" si="2"/>
        <v>23202</v>
      </c>
      <c r="G26" s="28">
        <f t="shared" si="2"/>
        <v>17710</v>
      </c>
      <c r="H26" s="27">
        <f>MAZCKO</f>
        <v>35338</v>
      </c>
      <c r="I26" s="36">
        <v>37312</v>
      </c>
      <c r="J26" s="5">
        <f t="shared" si="4"/>
        <v>-0.05290523156089194</v>
      </c>
      <c r="K26" s="3">
        <f t="shared" si="0"/>
        <v>0.4988397758786575</v>
      </c>
      <c r="L26" s="35">
        <v>12664</v>
      </c>
      <c r="M26" s="5">
        <f t="shared" si="3"/>
        <v>0.0034503042038186017</v>
      </c>
      <c r="N26" s="36">
        <v>13928</v>
      </c>
      <c r="O26" s="27">
        <f>MAZHLD</f>
        <v>12664</v>
      </c>
      <c r="P26" s="36">
        <v>2105</v>
      </c>
      <c r="Q26" s="5">
        <f t="shared" si="5"/>
        <v>5.016152019002376</v>
      </c>
    </row>
    <row r="27" spans="1:17" ht="11.25">
      <c r="A27" s="48">
        <v>114916</v>
      </c>
      <c r="B27" s="48">
        <v>63872</v>
      </c>
      <c r="D27" s="6" t="s">
        <v>65</v>
      </c>
      <c r="E27" s="36">
        <v>688</v>
      </c>
      <c r="F27" s="27">
        <f t="shared" si="2"/>
        <v>114916</v>
      </c>
      <c r="G27" s="28">
        <f t="shared" si="2"/>
        <v>63872</v>
      </c>
      <c r="H27" s="27">
        <f>MCFCKO</f>
        <v>232295</v>
      </c>
      <c r="I27" s="32">
        <v>227507</v>
      </c>
      <c r="J27" s="5">
        <f t="shared" si="4"/>
        <v>0.02104550629211409</v>
      </c>
      <c r="K27" s="3">
        <f t="shared" si="0"/>
        <v>0.7250392819475237</v>
      </c>
      <c r="L27" s="35">
        <v>51046</v>
      </c>
      <c r="M27" s="5">
        <f t="shared" si="3"/>
        <v>0.013907472235322517</v>
      </c>
      <c r="N27" s="36">
        <v>39804</v>
      </c>
      <c r="O27" s="27">
        <f>MCFHLD</f>
        <v>51046</v>
      </c>
      <c r="P27" s="36">
        <v>12878</v>
      </c>
      <c r="Q27" s="5">
        <f t="shared" si="5"/>
        <v>2.963814256872185</v>
      </c>
    </row>
    <row r="28" spans="1:17" ht="11.25">
      <c r="A28" s="48">
        <v>132978</v>
      </c>
      <c r="B28" s="48">
        <v>110361</v>
      </c>
      <c r="D28" s="8" t="s">
        <v>66</v>
      </c>
      <c r="E28" s="31">
        <v>796</v>
      </c>
      <c r="F28" s="25">
        <f t="shared" si="2"/>
        <v>132978</v>
      </c>
      <c r="G28" s="26">
        <f t="shared" si="2"/>
        <v>110361</v>
      </c>
      <c r="H28" s="25">
        <f>MCMCKO</f>
        <v>535447</v>
      </c>
      <c r="I28" s="31">
        <v>537316</v>
      </c>
      <c r="J28" s="9">
        <f t="shared" si="4"/>
        <v>-0.0034784000476442167</v>
      </c>
      <c r="K28" s="9">
        <f t="shared" si="0"/>
        <v>0.7938899648331207</v>
      </c>
      <c r="L28" s="34">
        <v>94830</v>
      </c>
      <c r="M28" s="9">
        <f t="shared" si="3"/>
        <v>0.02583641405939024</v>
      </c>
      <c r="N28" s="31">
        <v>86678</v>
      </c>
      <c r="O28" s="25">
        <f>MCMHLD</f>
        <v>94830</v>
      </c>
      <c r="P28" s="31">
        <v>29294</v>
      </c>
      <c r="Q28" s="9">
        <f t="shared" si="5"/>
        <v>2.2371816754284155</v>
      </c>
    </row>
    <row r="29" spans="1:17" ht="11.25">
      <c r="A29" s="48">
        <v>202701</v>
      </c>
      <c r="B29" s="48">
        <v>212344</v>
      </c>
      <c r="D29" s="6" t="s">
        <v>67</v>
      </c>
      <c r="E29" s="36">
        <v>2195</v>
      </c>
      <c r="F29" s="27">
        <f t="shared" si="2"/>
        <v>202701</v>
      </c>
      <c r="G29" s="28">
        <f t="shared" si="2"/>
        <v>212344</v>
      </c>
      <c r="H29" s="27">
        <f>MIDCKO</f>
        <v>769083</v>
      </c>
      <c r="I29" s="36">
        <v>803496</v>
      </c>
      <c r="J29" s="5">
        <f t="shared" si="4"/>
        <v>-0.042829086890289435</v>
      </c>
      <c r="K29" s="3">
        <f t="shared" si="0"/>
        <v>0.7238997611441158</v>
      </c>
      <c r="L29" s="35">
        <v>172523</v>
      </c>
      <c r="M29" s="5">
        <f t="shared" si="3"/>
        <v>0.04700385598194857</v>
      </c>
      <c r="N29" s="36">
        <v>158590</v>
      </c>
      <c r="O29" s="27">
        <f>MIDHLD</f>
        <v>172523</v>
      </c>
      <c r="P29" s="36">
        <v>22796</v>
      </c>
      <c r="Q29" s="5">
        <f t="shared" si="5"/>
        <v>6.568125987015266</v>
      </c>
    </row>
    <row r="30" spans="1:17" ht="11.25">
      <c r="A30" s="48">
        <v>72847</v>
      </c>
      <c r="B30" s="48">
        <v>85224</v>
      </c>
      <c r="D30" s="6" t="s">
        <v>68</v>
      </c>
      <c r="E30" s="36">
        <v>682</v>
      </c>
      <c r="F30" s="27">
        <f t="shared" si="2"/>
        <v>72847</v>
      </c>
      <c r="G30" s="28">
        <f t="shared" si="2"/>
        <v>85224</v>
      </c>
      <c r="H30" s="27">
        <f>MOOCKO</f>
        <v>284265</v>
      </c>
      <c r="I30" s="32">
        <v>294817</v>
      </c>
      <c r="J30" s="5">
        <f t="shared" si="4"/>
        <v>-0.03579169450879698</v>
      </c>
      <c r="K30" s="3">
        <f t="shared" si="0"/>
        <v>0.7001952403567094</v>
      </c>
      <c r="L30" s="35">
        <v>62595</v>
      </c>
      <c r="M30" s="5">
        <f t="shared" si="3"/>
        <v>0.017053994917721523</v>
      </c>
      <c r="N30" s="36">
        <v>104469</v>
      </c>
      <c r="O30" s="27">
        <f>MOOHLD</f>
        <v>62595</v>
      </c>
      <c r="P30" s="36">
        <v>13788</v>
      </c>
      <c r="Q30" s="5">
        <f t="shared" si="5"/>
        <v>3.539817232375979</v>
      </c>
    </row>
    <row r="31" spans="1:17" ht="11.25">
      <c r="A31" s="48">
        <v>93865</v>
      </c>
      <c r="B31" s="48">
        <v>60956</v>
      </c>
      <c r="D31" s="8" t="s">
        <v>99</v>
      </c>
      <c r="E31" s="31">
        <v>673</v>
      </c>
      <c r="F31" s="25">
        <f t="shared" si="2"/>
        <v>93865</v>
      </c>
      <c r="G31" s="26">
        <f t="shared" si="2"/>
        <v>60956</v>
      </c>
      <c r="H31" s="25">
        <f>MROCKO</f>
        <v>215436</v>
      </c>
      <c r="I31" s="31">
        <v>231804</v>
      </c>
      <c r="J31" s="9">
        <f t="shared" si="4"/>
        <v>-0.07061137857845422</v>
      </c>
      <c r="K31" s="9">
        <f t="shared" si="0"/>
        <v>0.7170575019959524</v>
      </c>
      <c r="L31" s="34">
        <v>54867</v>
      </c>
      <c r="M31" s="9">
        <f t="shared" si="3"/>
        <v>0.014948502901998992</v>
      </c>
      <c r="N31" s="31">
        <v>58140</v>
      </c>
      <c r="O31" s="25">
        <f>MROHLD</f>
        <v>54867</v>
      </c>
      <c r="P31" s="31">
        <v>32510</v>
      </c>
      <c r="Q31" s="9">
        <f t="shared" si="5"/>
        <v>0.6876960935096893</v>
      </c>
    </row>
    <row r="32" spans="1:17" ht="11.25">
      <c r="A32" s="48">
        <v>80621</v>
      </c>
      <c r="B32" s="48">
        <v>80146</v>
      </c>
      <c r="D32" s="6" t="s">
        <v>69</v>
      </c>
      <c r="E32" s="36">
        <v>769</v>
      </c>
      <c r="F32" s="27">
        <f t="shared" si="2"/>
        <v>80621</v>
      </c>
      <c r="G32" s="28">
        <f t="shared" si="2"/>
        <v>80146</v>
      </c>
      <c r="H32" s="27">
        <f>MTHCKO</f>
        <v>229909</v>
      </c>
      <c r="I32" s="36">
        <v>238211</v>
      </c>
      <c r="J32" s="5">
        <f t="shared" si="4"/>
        <v>-0.03485145522247084</v>
      </c>
      <c r="K32" s="3">
        <f t="shared" si="0"/>
        <v>0.6514012065643363</v>
      </c>
      <c r="L32" s="35">
        <v>60745</v>
      </c>
      <c r="M32" s="5">
        <f t="shared" si="3"/>
        <v>0.016549962796980493</v>
      </c>
      <c r="N32" s="36">
        <v>65266</v>
      </c>
      <c r="O32" s="27">
        <f>MTHHLD</f>
        <v>60745</v>
      </c>
      <c r="P32" s="36">
        <v>15401</v>
      </c>
      <c r="Q32" s="5">
        <f t="shared" si="5"/>
        <v>2.9442244010129213</v>
      </c>
    </row>
    <row r="33" spans="1:17" ht="11.25">
      <c r="A33" s="48">
        <v>50565</v>
      </c>
      <c r="B33" s="48">
        <v>31198</v>
      </c>
      <c r="D33" s="6" t="s">
        <v>70</v>
      </c>
      <c r="E33" s="36">
        <v>328</v>
      </c>
      <c r="F33" s="27">
        <f t="shared" si="2"/>
        <v>50565</v>
      </c>
      <c r="G33" s="28">
        <f t="shared" si="2"/>
        <v>31198</v>
      </c>
      <c r="H33" s="27">
        <f>NGLCKO</f>
        <v>80614</v>
      </c>
      <c r="I33" s="36">
        <v>89602</v>
      </c>
      <c r="J33" s="5">
        <f t="shared" si="4"/>
        <v>-0.10031026093167564</v>
      </c>
      <c r="K33" s="3">
        <f t="shared" si="0"/>
        <v>0.612995261368993</v>
      </c>
      <c r="L33" s="35">
        <v>24243</v>
      </c>
      <c r="M33" s="5">
        <f t="shared" si="3"/>
        <v>0.006605000380067464</v>
      </c>
      <c r="N33" s="36">
        <v>24834</v>
      </c>
      <c r="O33" s="27">
        <f>NGLHLD</f>
        <v>24243</v>
      </c>
      <c r="P33" s="36">
        <v>6004</v>
      </c>
      <c r="Q33" s="5">
        <f t="shared" si="5"/>
        <v>3.0378081279147233</v>
      </c>
    </row>
    <row r="34" spans="1:17" ht="11.25">
      <c r="A34" s="48">
        <v>14036</v>
      </c>
      <c r="B34" s="48">
        <v>7361</v>
      </c>
      <c r="D34" s="8" t="s">
        <v>71</v>
      </c>
      <c r="E34" s="31">
        <v>59</v>
      </c>
      <c r="F34" s="25">
        <f t="shared" si="2"/>
        <v>14036</v>
      </c>
      <c r="G34" s="26">
        <f t="shared" si="2"/>
        <v>7361</v>
      </c>
      <c r="H34" s="25">
        <f>NOFCKO</f>
        <v>19033</v>
      </c>
      <c r="I34" s="31">
        <v>20511</v>
      </c>
      <c r="J34" s="9">
        <f t="shared" si="4"/>
        <v>-0.07205889522695139</v>
      </c>
      <c r="K34" s="9">
        <f t="shared" si="0"/>
        <v>0.6132506698891399</v>
      </c>
      <c r="L34" s="34">
        <v>4809</v>
      </c>
      <c r="M34" s="9">
        <f t="shared" si="3"/>
        <v>0.0013102110641316847</v>
      </c>
      <c r="N34" s="31">
        <v>4815</v>
      </c>
      <c r="O34" s="25">
        <f>NOFHLD</f>
        <v>4809</v>
      </c>
      <c r="P34" s="31">
        <v>1965</v>
      </c>
      <c r="Q34" s="9">
        <f t="shared" si="5"/>
        <v>1.4473282442748092</v>
      </c>
    </row>
    <row r="35" spans="1:17" ht="11.25">
      <c r="A35" s="48">
        <v>73006</v>
      </c>
      <c r="B35" s="48">
        <v>99150</v>
      </c>
      <c r="D35" s="6" t="s">
        <v>72</v>
      </c>
      <c r="E35" s="36">
        <v>907</v>
      </c>
      <c r="F35" s="27">
        <f t="shared" si="2"/>
        <v>73006</v>
      </c>
      <c r="G35" s="28">
        <f t="shared" si="2"/>
        <v>99150</v>
      </c>
      <c r="H35" s="27">
        <f>ORECKO</f>
        <v>302281</v>
      </c>
      <c r="I35" s="36">
        <v>313560</v>
      </c>
      <c r="J35" s="5">
        <f t="shared" si="4"/>
        <v>-0.035970787090190075</v>
      </c>
      <c r="K35" s="3">
        <f t="shared" si="0"/>
        <v>0.671993939413989</v>
      </c>
      <c r="L35" s="35">
        <v>78713</v>
      </c>
      <c r="M35" s="5">
        <f t="shared" si="3"/>
        <v>0.02144534071345338</v>
      </c>
      <c r="N35" s="36">
        <v>83752</v>
      </c>
      <c r="O35" s="27">
        <f>OREHLD</f>
        <v>78713</v>
      </c>
      <c r="P35" s="36">
        <v>20784</v>
      </c>
      <c r="Q35" s="5">
        <f t="shared" si="5"/>
        <v>2.7871920708237106</v>
      </c>
    </row>
    <row r="36" spans="1:17" ht="11.25">
      <c r="A36" s="48">
        <v>15748</v>
      </c>
      <c r="B36" s="48">
        <v>15184</v>
      </c>
      <c r="D36" s="6" t="s">
        <v>73</v>
      </c>
      <c r="E36" s="36">
        <v>103</v>
      </c>
      <c r="F36" s="27">
        <f t="shared" si="2"/>
        <v>15748</v>
      </c>
      <c r="G36" s="28">
        <f t="shared" si="2"/>
        <v>15184</v>
      </c>
      <c r="H36" s="27">
        <f>PARCKO</f>
        <v>35919</v>
      </c>
      <c r="I36" s="36">
        <v>41181</v>
      </c>
      <c r="J36" s="5">
        <f t="shared" si="4"/>
        <v>-0.12777737306039194</v>
      </c>
      <c r="K36" s="3">
        <f t="shared" si="0"/>
        <v>0.5772710821570757</v>
      </c>
      <c r="L36" s="35">
        <v>11316</v>
      </c>
      <c r="M36" s="5">
        <f t="shared" si="3"/>
        <v>0.0030830418801651373</v>
      </c>
      <c r="N36" s="36">
        <v>11362</v>
      </c>
      <c r="O36" s="27">
        <f>PARHLD</f>
        <v>11316</v>
      </c>
      <c r="P36" s="36">
        <v>5158</v>
      </c>
      <c r="Q36" s="5">
        <f t="shared" si="5"/>
        <v>1.1938735944164405</v>
      </c>
    </row>
    <row r="37" spans="1:17" ht="11.25">
      <c r="A37" s="48">
        <v>54461</v>
      </c>
      <c r="B37" s="48">
        <v>45636</v>
      </c>
      <c r="D37" s="8" t="s">
        <v>74</v>
      </c>
      <c r="E37" s="31">
        <v>432</v>
      </c>
      <c r="F37" s="25">
        <f t="shared" si="2"/>
        <v>54461</v>
      </c>
      <c r="G37" s="26">
        <f t="shared" si="2"/>
        <v>45636</v>
      </c>
      <c r="H37" s="25">
        <f>PDSCKO</f>
        <v>140372</v>
      </c>
      <c r="I37" s="31">
        <v>147310</v>
      </c>
      <c r="J37" s="9">
        <f>(H37-I37)/I37</f>
        <v>-0.047097956689973526</v>
      </c>
      <c r="K37" s="9">
        <f t="shared" si="0"/>
        <v>0.6748924286894822</v>
      </c>
      <c r="L37" s="34">
        <v>35386</v>
      </c>
      <c r="M37" s="9">
        <f t="shared" si="3"/>
        <v>0.00964090844569844</v>
      </c>
      <c r="N37" s="31">
        <v>37297</v>
      </c>
      <c r="O37" s="25">
        <f>PDSHLD</f>
        <v>35386</v>
      </c>
      <c r="P37" s="31">
        <v>15223</v>
      </c>
      <c r="Q37" s="9">
        <f t="shared" si="5"/>
        <v>1.3245089666951324</v>
      </c>
    </row>
    <row r="38" spans="1:17" ht="11.25">
      <c r="A38" s="48">
        <v>18802</v>
      </c>
      <c r="B38" s="48">
        <v>20277</v>
      </c>
      <c r="D38" s="6" t="s">
        <v>75</v>
      </c>
      <c r="E38" s="36">
        <v>183</v>
      </c>
      <c r="F38" s="27">
        <f t="shared" si="2"/>
        <v>18802</v>
      </c>
      <c r="G38" s="28">
        <f t="shared" si="2"/>
        <v>20277</v>
      </c>
      <c r="H38" s="27">
        <f>PLACKO</f>
        <v>36347</v>
      </c>
      <c r="I38" s="36">
        <v>36146</v>
      </c>
      <c r="J38" s="5">
        <f t="shared" si="4"/>
        <v>0.00556078127593648</v>
      </c>
      <c r="K38" s="3">
        <f t="shared" si="0"/>
        <v>0.44212727322750156</v>
      </c>
      <c r="L38" s="35">
        <v>14745</v>
      </c>
      <c r="M38" s="5">
        <f t="shared" si="3"/>
        <v>0.004017272227203513</v>
      </c>
      <c r="N38" s="36">
        <v>14793</v>
      </c>
      <c r="O38" s="27">
        <f>PLAHLD</f>
        <v>14745</v>
      </c>
      <c r="P38" s="36">
        <v>5330</v>
      </c>
      <c r="Q38" s="5">
        <f t="shared" si="5"/>
        <v>1.7664165103189493</v>
      </c>
    </row>
    <row r="39" spans="1:17" ht="11.25">
      <c r="A39" s="48">
        <v>69082</v>
      </c>
      <c r="B39" s="48">
        <v>60026</v>
      </c>
      <c r="D39" s="6" t="s">
        <v>76</v>
      </c>
      <c r="E39" s="36">
        <v>502</v>
      </c>
      <c r="F39" s="27">
        <f t="shared" si="2"/>
        <v>69082</v>
      </c>
      <c r="G39" s="28">
        <f t="shared" si="2"/>
        <v>60026</v>
      </c>
      <c r="H39" s="27">
        <f>PORCKO</f>
        <v>202161</v>
      </c>
      <c r="I39" s="36">
        <v>209275</v>
      </c>
      <c r="J39" s="5">
        <f t="shared" si="4"/>
        <v>-0.03399354915780672</v>
      </c>
      <c r="K39" s="3">
        <f t="shared" si="0"/>
        <v>0.7030782396208962</v>
      </c>
      <c r="L39" s="35">
        <v>49497</v>
      </c>
      <c r="M39" s="5">
        <f t="shared" si="3"/>
        <v>0.013485447502875026</v>
      </c>
      <c r="N39" s="36">
        <v>52715</v>
      </c>
      <c r="O39" s="27">
        <f>PORHLD</f>
        <v>49497</v>
      </c>
      <c r="P39" s="36">
        <v>17895</v>
      </c>
      <c r="Q39" s="5">
        <f t="shared" si="5"/>
        <v>1.7659681475272422</v>
      </c>
    </row>
    <row r="40" spans="1:17" ht="11.25">
      <c r="A40" s="48">
        <v>30166</v>
      </c>
      <c r="B40" s="48">
        <v>28515</v>
      </c>
      <c r="D40" s="8" t="s">
        <v>96</v>
      </c>
      <c r="E40" s="31">
        <v>186</v>
      </c>
      <c r="F40" s="25">
        <f t="shared" si="2"/>
        <v>30166</v>
      </c>
      <c r="G40" s="26">
        <f t="shared" si="2"/>
        <v>28515</v>
      </c>
      <c r="H40" s="25">
        <f>POYCKO</f>
        <v>69888</v>
      </c>
      <c r="I40" s="31">
        <v>77489</v>
      </c>
      <c r="J40" s="9">
        <f t="shared" si="4"/>
        <v>-0.0980913419969286</v>
      </c>
      <c r="K40" s="9">
        <f t="shared" si="0"/>
        <v>0.5919900412087912</v>
      </c>
      <c r="L40" s="34">
        <v>21053</v>
      </c>
      <c r="M40" s="9">
        <f t="shared" si="3"/>
        <v>0.00573588553403293</v>
      </c>
      <c r="N40" s="31">
        <v>22298</v>
      </c>
      <c r="O40" s="25">
        <f>POYHLD</f>
        <v>21053</v>
      </c>
      <c r="P40" s="31">
        <v>6901</v>
      </c>
      <c r="Q40" s="9">
        <f t="shared" si="5"/>
        <v>2.0507172873496593</v>
      </c>
    </row>
    <row r="41" spans="1:17" ht="11.25">
      <c r="A41" s="48">
        <v>118514</v>
      </c>
      <c r="B41" s="48">
        <v>67354</v>
      </c>
      <c r="D41" s="6" t="s">
        <v>77</v>
      </c>
      <c r="E41" s="36">
        <v>419</v>
      </c>
      <c r="F41" s="27">
        <f t="shared" si="2"/>
        <v>118514</v>
      </c>
      <c r="G41" s="28">
        <f t="shared" si="2"/>
        <v>67354</v>
      </c>
      <c r="H41" s="27">
        <f>REECKO</f>
        <v>293427</v>
      </c>
      <c r="I41" s="36">
        <v>292840</v>
      </c>
      <c r="J41" s="5">
        <f t="shared" si="4"/>
        <v>0.0020045075809315667</v>
      </c>
      <c r="K41" s="3">
        <f t="shared" si="0"/>
        <v>0.7704573880385922</v>
      </c>
      <c r="L41" s="35">
        <v>55145</v>
      </c>
      <c r="M41" s="5">
        <f t="shared" si="3"/>
        <v>0.015024243945007643</v>
      </c>
      <c r="N41" s="36">
        <v>56893</v>
      </c>
      <c r="O41" s="27">
        <f>REEHLD</f>
        <v>55145</v>
      </c>
      <c r="P41" s="36">
        <v>21905</v>
      </c>
      <c r="Q41" s="5">
        <f t="shared" si="5"/>
        <v>1.517461766719927</v>
      </c>
    </row>
    <row r="42" spans="1:17" ht="11.25">
      <c r="A42" s="48">
        <v>7298</v>
      </c>
      <c r="B42" s="48">
        <v>3677</v>
      </c>
      <c r="D42" s="6" t="s">
        <v>78</v>
      </c>
      <c r="E42" s="36">
        <v>27</v>
      </c>
      <c r="F42" s="27">
        <f t="shared" si="2"/>
        <v>7298</v>
      </c>
      <c r="G42" s="28">
        <f t="shared" si="2"/>
        <v>3677</v>
      </c>
      <c r="H42" s="27">
        <f>RKSCKO</f>
        <v>14342</v>
      </c>
      <c r="I42" s="36">
        <v>15461</v>
      </c>
      <c r="J42" s="5">
        <f t="shared" si="4"/>
        <v>-0.07237565487355281</v>
      </c>
      <c r="K42" s="3">
        <f t="shared" si="0"/>
        <v>0.7436201366615535</v>
      </c>
      <c r="L42" s="35">
        <v>2703</v>
      </c>
      <c r="M42" s="5">
        <f t="shared" si="3"/>
        <v>0.0007364317958718951</v>
      </c>
      <c r="N42" s="36">
        <v>2196</v>
      </c>
      <c r="O42" s="27">
        <f>RKSHLD</f>
        <v>2703</v>
      </c>
      <c r="P42" s="36">
        <v>1732</v>
      </c>
      <c r="Q42" s="5">
        <f t="shared" si="5"/>
        <v>0.5606235565819861</v>
      </c>
    </row>
    <row r="43" spans="1:17" ht="11.25">
      <c r="A43" s="48">
        <v>1697</v>
      </c>
      <c r="B43" s="48">
        <v>2517</v>
      </c>
      <c r="D43" s="8" t="s">
        <v>79</v>
      </c>
      <c r="E43" s="31">
        <v>35</v>
      </c>
      <c r="F43" s="25">
        <f>A43+allscids-E43</f>
        <v>39008</v>
      </c>
      <c r="G43" s="26">
        <f>-E43+B43</f>
        <v>2482</v>
      </c>
      <c r="H43" s="25">
        <f>SCACKO</f>
        <v>2784</v>
      </c>
      <c r="I43" s="31">
        <v>1985</v>
      </c>
      <c r="J43" s="9">
        <f t="shared" si="4"/>
        <v>0.4025188916876574</v>
      </c>
      <c r="K43" s="9">
        <f t="shared" si="0"/>
        <v>0.10847701149425287</v>
      </c>
      <c r="L43" s="34">
        <v>8002</v>
      </c>
      <c r="M43" s="9">
        <f t="shared" si="3"/>
        <v>0.002180143259551204</v>
      </c>
      <c r="N43" s="31">
        <v>1465</v>
      </c>
      <c r="O43" s="25">
        <f>SCAHLD</f>
        <v>8002</v>
      </c>
      <c r="P43" s="31">
        <v>20867</v>
      </c>
      <c r="Q43" s="9">
        <f t="shared" si="5"/>
        <v>-0.6165236977045095</v>
      </c>
    </row>
    <row r="44" spans="1:17" ht="11.25">
      <c r="A44" s="48">
        <v>19</v>
      </c>
      <c r="B44" s="33">
        <v>212</v>
      </c>
      <c r="D44" s="6" t="s">
        <v>80</v>
      </c>
      <c r="E44" s="36">
        <v>0</v>
      </c>
      <c r="F44" s="27">
        <f t="shared" si="2"/>
        <v>19</v>
      </c>
      <c r="G44" s="28">
        <f t="shared" si="2"/>
        <v>212</v>
      </c>
      <c r="H44" s="27">
        <f>SCLCKO</f>
        <v>218</v>
      </c>
      <c r="I44" s="36">
        <v>602</v>
      </c>
      <c r="J44" s="5">
        <f t="shared" si="4"/>
        <v>-0.6378737541528239</v>
      </c>
      <c r="K44" s="3">
        <f t="shared" si="0"/>
        <v>0.027522935779816515</v>
      </c>
      <c r="L44" s="35">
        <v>65</v>
      </c>
      <c r="M44" s="5">
        <f t="shared" si="3"/>
        <v>1.7709236674684865E-05</v>
      </c>
      <c r="N44" s="36">
        <v>12</v>
      </c>
      <c r="O44" s="27">
        <f>SCLHLD</f>
        <v>65</v>
      </c>
      <c r="P44" s="36">
        <v>538</v>
      </c>
      <c r="Q44" s="5">
        <f t="shared" si="5"/>
        <v>-0.879182156133829</v>
      </c>
    </row>
    <row r="45" spans="1:17" ht="11.25">
      <c r="A45" s="48">
        <v>37500</v>
      </c>
      <c r="B45" s="48">
        <v>31307</v>
      </c>
      <c r="D45" s="6" t="s">
        <v>81</v>
      </c>
      <c r="E45" s="36">
        <v>234</v>
      </c>
      <c r="F45" s="27">
        <f t="shared" si="2"/>
        <v>37500</v>
      </c>
      <c r="G45" s="28">
        <f t="shared" si="2"/>
        <v>31307</v>
      </c>
      <c r="H45" s="27">
        <f>SGRCKO</f>
        <v>102276</v>
      </c>
      <c r="I45" s="36">
        <v>102855</v>
      </c>
      <c r="J45" s="5">
        <f t="shared" si="4"/>
        <v>-0.005629283943415488</v>
      </c>
      <c r="K45" s="3">
        <f t="shared" si="0"/>
        <v>0.693896906410106</v>
      </c>
      <c r="L45" s="35">
        <v>24797</v>
      </c>
      <c r="M45" s="5">
        <f t="shared" si="3"/>
        <v>0.006755937566494778</v>
      </c>
      <c r="N45" s="36">
        <v>26749</v>
      </c>
      <c r="O45" s="27">
        <f>SGRHLD</f>
        <v>24797</v>
      </c>
      <c r="P45" s="36">
        <v>6909</v>
      </c>
      <c r="Q45" s="5">
        <f t="shared" si="5"/>
        <v>2.589086698509191</v>
      </c>
    </row>
    <row r="46" spans="1:17" ht="11.25">
      <c r="A46" s="48">
        <v>41675</v>
      </c>
      <c r="B46" s="48">
        <v>38815</v>
      </c>
      <c r="D46" s="8" t="s">
        <v>82</v>
      </c>
      <c r="E46" s="31">
        <v>328</v>
      </c>
      <c r="F46" s="25">
        <f t="shared" si="2"/>
        <v>41675</v>
      </c>
      <c r="G46" s="26">
        <f t="shared" si="2"/>
        <v>38815</v>
      </c>
      <c r="H46" s="25">
        <f>SKCCKO</f>
        <v>139331</v>
      </c>
      <c r="I46" s="31">
        <v>131724</v>
      </c>
      <c r="J46" s="9">
        <f t="shared" si="4"/>
        <v>0.05774953691050985</v>
      </c>
      <c r="K46" s="9">
        <f t="shared" si="0"/>
        <v>0.7214187797403305</v>
      </c>
      <c r="L46" s="34">
        <v>29871</v>
      </c>
      <c r="M46" s="9">
        <f t="shared" si="3"/>
        <v>0.008138347826300178</v>
      </c>
      <c r="N46" s="31">
        <v>30681</v>
      </c>
      <c r="O46" s="25">
        <f>SKCHLD</f>
        <v>29871</v>
      </c>
      <c r="P46" s="31">
        <v>11638</v>
      </c>
      <c r="Q46" s="9">
        <f t="shared" si="5"/>
        <v>1.5666781233888984</v>
      </c>
    </row>
    <row r="47" spans="1:17" ht="11.25">
      <c r="A47" s="48">
        <v>76766</v>
      </c>
      <c r="B47" s="48">
        <v>97228</v>
      </c>
      <c r="D47" s="6" t="s">
        <v>83</v>
      </c>
      <c r="E47" s="36">
        <v>1067</v>
      </c>
      <c r="F47" s="27">
        <f t="shared" si="2"/>
        <v>76766</v>
      </c>
      <c r="G47" s="28">
        <f t="shared" si="2"/>
        <v>97228</v>
      </c>
      <c r="H47" s="27">
        <f>STOCKO</f>
        <v>278560</v>
      </c>
      <c r="I47" s="36">
        <v>291867</v>
      </c>
      <c r="J47" s="5">
        <f t="shared" si="4"/>
        <v>-0.04559268433909966</v>
      </c>
      <c r="K47" s="3">
        <f t="shared" si="0"/>
        <v>0.6509620907524412</v>
      </c>
      <c r="L47" s="35">
        <v>77772</v>
      </c>
      <c r="M47" s="5">
        <f t="shared" si="3"/>
        <v>0.02118896545636294</v>
      </c>
      <c r="N47" s="36">
        <v>81352</v>
      </c>
      <c r="O47" s="27">
        <f>STOHLD</f>
        <v>77772</v>
      </c>
      <c r="P47" s="36">
        <v>21726</v>
      </c>
      <c r="Q47" s="5">
        <f t="shared" si="5"/>
        <v>2.579674123170395</v>
      </c>
    </row>
    <row r="48" spans="1:17" ht="11.25">
      <c r="A48" s="48">
        <v>146569</v>
      </c>
      <c r="B48" s="48">
        <v>152313</v>
      </c>
      <c r="D48" s="6" t="s">
        <v>84</v>
      </c>
      <c r="E48" s="36">
        <v>1530</v>
      </c>
      <c r="F48" s="27">
        <f t="shared" si="2"/>
        <v>146569</v>
      </c>
      <c r="G48" s="28">
        <f t="shared" si="2"/>
        <v>152313</v>
      </c>
      <c r="H48" s="27">
        <f>SUNCKO</f>
        <v>634924</v>
      </c>
      <c r="I48" s="36">
        <v>625033</v>
      </c>
      <c r="J48" s="5">
        <f t="shared" si="4"/>
        <v>0.015824764452436912</v>
      </c>
      <c r="K48" s="3">
        <f t="shared" si="0"/>
        <v>0.760108296426029</v>
      </c>
      <c r="L48" s="35">
        <v>130817</v>
      </c>
      <c r="M48" s="5">
        <f t="shared" si="3"/>
        <v>0.035641064831880766</v>
      </c>
      <c r="N48" s="36">
        <v>138278</v>
      </c>
      <c r="O48" s="27">
        <f>SUNHLD</f>
        <v>130817</v>
      </c>
      <c r="P48" s="36">
        <v>36461</v>
      </c>
      <c r="Q48" s="5">
        <f t="shared" si="5"/>
        <v>2.5878610021666986</v>
      </c>
    </row>
    <row r="49" spans="1:17" ht="11.25">
      <c r="A49" s="48">
        <v>123675</v>
      </c>
      <c r="B49" s="48">
        <v>150833</v>
      </c>
      <c r="D49" s="8" t="s">
        <v>85</v>
      </c>
      <c r="E49" s="31">
        <v>1704</v>
      </c>
      <c r="F49" s="25">
        <f t="shared" si="2"/>
        <v>123675</v>
      </c>
      <c r="G49" s="26">
        <f t="shared" si="2"/>
        <v>150833</v>
      </c>
      <c r="H49" s="25">
        <f>VERCKO</f>
        <v>587288</v>
      </c>
      <c r="I49" s="31">
        <v>591770</v>
      </c>
      <c r="J49" s="9">
        <f t="shared" si="4"/>
        <v>-0.007573888503979586</v>
      </c>
      <c r="K49" s="9">
        <f t="shared" si="0"/>
        <v>0.7431703014534606</v>
      </c>
      <c r="L49" s="34">
        <v>123287</v>
      </c>
      <c r="M49" s="9">
        <f t="shared" si="3"/>
        <v>0.03358951787556728</v>
      </c>
      <c r="N49" s="31">
        <v>126682</v>
      </c>
      <c r="O49" s="25">
        <f>VERHLD</f>
        <v>123287</v>
      </c>
      <c r="P49" s="31">
        <v>32054</v>
      </c>
      <c r="Q49" s="9">
        <f t="shared" si="5"/>
        <v>2.846228239845261</v>
      </c>
    </row>
    <row r="50" spans="1:17" ht="11.25">
      <c r="A50" s="48">
        <v>103883</v>
      </c>
      <c r="B50" s="48">
        <v>79905</v>
      </c>
      <c r="D50" s="6" t="s">
        <v>86</v>
      </c>
      <c r="E50" s="36">
        <v>932</v>
      </c>
      <c r="F50" s="27">
        <f t="shared" si="2"/>
        <v>103883</v>
      </c>
      <c r="G50" s="28">
        <f t="shared" si="2"/>
        <v>79905</v>
      </c>
      <c r="H50" s="27">
        <f>WAUCKO</f>
        <v>283249</v>
      </c>
      <c r="I50" s="36">
        <v>285755</v>
      </c>
      <c r="J50" s="5">
        <f t="shared" si="4"/>
        <v>-0.008769750310580741</v>
      </c>
      <c r="K50" s="3">
        <f t="shared" si="0"/>
        <v>0.7178983862255471</v>
      </c>
      <c r="L50" s="35">
        <v>65671</v>
      </c>
      <c r="M50" s="5">
        <f t="shared" si="3"/>
        <v>0.01789205048712661</v>
      </c>
      <c r="N50" s="36">
        <v>68056</v>
      </c>
      <c r="O50" s="27">
        <f>WAUHLD</f>
        <v>65671</v>
      </c>
      <c r="P50" s="36">
        <v>17677</v>
      </c>
      <c r="Q50" s="5">
        <f t="shared" si="5"/>
        <v>2.7150534592973923</v>
      </c>
    </row>
    <row r="51" spans="1:17" ht="11.25">
      <c r="A51" s="48">
        <v>31079</v>
      </c>
      <c r="B51" s="48">
        <v>41007</v>
      </c>
      <c r="D51" s="6" t="s">
        <v>87</v>
      </c>
      <c r="E51" s="36">
        <v>414</v>
      </c>
      <c r="F51" s="27">
        <f t="shared" si="2"/>
        <v>31079</v>
      </c>
      <c r="G51" s="28">
        <f t="shared" si="2"/>
        <v>41007</v>
      </c>
      <c r="H51" s="27">
        <f>WIDCKO</f>
        <v>103830</v>
      </c>
      <c r="I51" s="36">
        <v>106563</v>
      </c>
      <c r="J51" s="5">
        <f t="shared" si="4"/>
        <v>-0.025646800484220602</v>
      </c>
      <c r="K51" s="3">
        <f t="shared" si="0"/>
        <v>0.6050563420976597</v>
      </c>
      <c r="L51" s="35">
        <v>36730</v>
      </c>
      <c r="M51" s="5">
        <f t="shared" si="3"/>
        <v>0.010007080970171923</v>
      </c>
      <c r="N51" s="36">
        <v>33225</v>
      </c>
      <c r="O51" s="27">
        <f>WIDHLD</f>
        <v>36730</v>
      </c>
      <c r="P51" s="36">
        <v>24327</v>
      </c>
      <c r="Q51" s="5">
        <f t="shared" si="5"/>
        <v>0.5098450281580137</v>
      </c>
    </row>
    <row r="52" spans="1:17" ht="11.25">
      <c r="A52" s="48">
        <v>7622</v>
      </c>
      <c r="B52" s="48">
        <v>7728</v>
      </c>
      <c r="D52" s="8" t="s">
        <v>97</v>
      </c>
      <c r="E52" s="31">
        <v>63</v>
      </c>
      <c r="F52" s="25">
        <f t="shared" si="2"/>
        <v>7622</v>
      </c>
      <c r="G52" s="26">
        <f t="shared" si="2"/>
        <v>7728</v>
      </c>
      <c r="H52" s="25">
        <f>WYOCKO</f>
        <v>14323</v>
      </c>
      <c r="I52" s="31">
        <v>14796</v>
      </c>
      <c r="J52" s="9">
        <f t="shared" si="4"/>
        <v>-0.03196809948634766</v>
      </c>
      <c r="K52" s="9">
        <f t="shared" si="0"/>
        <v>0.4604482301193884</v>
      </c>
      <c r="L52" s="34">
        <v>5082</v>
      </c>
      <c r="M52" s="9">
        <f t="shared" si="3"/>
        <v>0.0013845898581653611</v>
      </c>
      <c r="N52" s="31">
        <v>5215</v>
      </c>
      <c r="O52" s="25">
        <f>WYOHLD</f>
        <v>5082</v>
      </c>
      <c r="P52" s="31">
        <v>1221</v>
      </c>
      <c r="Q52" s="9">
        <f t="shared" si="5"/>
        <v>3.1621621621621623</v>
      </c>
    </row>
    <row r="53" spans="1:17" ht="11.25">
      <c r="A53" s="48">
        <v>68</v>
      </c>
      <c r="B53" s="48">
        <v>12295</v>
      </c>
      <c r="D53" s="6" t="s">
        <v>88</v>
      </c>
      <c r="E53" s="36">
        <v>61</v>
      </c>
      <c r="F53" s="27">
        <f t="shared" si="2"/>
        <v>68</v>
      </c>
      <c r="G53" s="28">
        <f t="shared" si="2"/>
        <v>12295</v>
      </c>
      <c r="H53" s="27">
        <f>ZZZCKO</f>
        <v>12286</v>
      </c>
      <c r="I53" s="36">
        <v>14595</v>
      </c>
      <c r="J53" s="5">
        <f t="shared" si="4"/>
        <v>-0.15820486467968484</v>
      </c>
      <c r="K53" s="3">
        <f t="shared" si="0"/>
        <v>-0.000732541103695263</v>
      </c>
      <c r="L53" s="35">
        <v>4473</v>
      </c>
      <c r="M53" s="5">
        <f t="shared" si="3"/>
        <v>0.0012186679330133138</v>
      </c>
      <c r="N53" s="36">
        <v>6427</v>
      </c>
      <c r="O53" s="27">
        <f>ZZZHLD</f>
        <v>4473</v>
      </c>
      <c r="P53" s="36">
        <v>637</v>
      </c>
      <c r="Q53" s="5">
        <f t="shared" si="5"/>
        <v>6.021978021978022</v>
      </c>
    </row>
    <row r="54" spans="1:17" ht="11.25">
      <c r="A54" s="33">
        <v>0</v>
      </c>
      <c r="B54" s="33">
        <v>0</v>
      </c>
      <c r="D54" s="6" t="s">
        <v>89</v>
      </c>
      <c r="E54" s="36">
        <v>16</v>
      </c>
      <c r="F54" s="27" t="s">
        <v>95</v>
      </c>
      <c r="G54" s="28">
        <f t="shared" si="2"/>
        <v>0</v>
      </c>
      <c r="H54" s="27">
        <f>DIALCKO</f>
        <v>12617</v>
      </c>
      <c r="I54" s="36" t="s">
        <v>95</v>
      </c>
      <c r="J54" s="5" t="s">
        <v>95</v>
      </c>
      <c r="K54" s="3" t="s">
        <v>95</v>
      </c>
      <c r="L54" s="35">
        <v>879044</v>
      </c>
      <c r="M54" s="5">
        <f t="shared" si="3"/>
        <v>0.23949535759171817</v>
      </c>
      <c r="N54" s="36">
        <v>0</v>
      </c>
      <c r="O54" s="27">
        <f>DIALHLD</f>
        <v>879044</v>
      </c>
      <c r="P54" s="36">
        <v>2982769</v>
      </c>
      <c r="Q54" s="5">
        <f t="shared" si="5"/>
        <v>-0.7052926324499148</v>
      </c>
    </row>
    <row r="55" spans="1:17" ht="11.25">
      <c r="A55" s="10" t="s">
        <v>59</v>
      </c>
      <c r="B55" s="10" t="s">
        <v>59</v>
      </c>
      <c r="D55" s="11" t="s">
        <v>59</v>
      </c>
      <c r="E55" s="11" t="s">
        <v>59</v>
      </c>
      <c r="F55" s="29" t="s">
        <v>59</v>
      </c>
      <c r="G55" s="30" t="str">
        <f>B55</f>
        <v>---------</v>
      </c>
      <c r="H55" s="11" t="s">
        <v>59</v>
      </c>
      <c r="I55" s="11" t="s">
        <v>59</v>
      </c>
      <c r="J55" s="13" t="s">
        <v>59</v>
      </c>
      <c r="K55" s="13" t="s">
        <v>59</v>
      </c>
      <c r="L55" s="14" t="s">
        <v>59</v>
      </c>
      <c r="M55" s="15" t="s">
        <v>59</v>
      </c>
      <c r="N55" s="12" t="s">
        <v>59</v>
      </c>
      <c r="O55" s="12" t="s">
        <v>59</v>
      </c>
      <c r="P55" s="11" t="s">
        <v>59</v>
      </c>
      <c r="Q55" s="13" t="s">
        <v>59</v>
      </c>
    </row>
    <row r="56" spans="1:17" ht="11.25">
      <c r="A56" s="1">
        <f>SUM(A9:A55)</f>
        <v>2406946</v>
      </c>
      <c r="B56" s="1">
        <f>SUM(B9:B55)</f>
        <v>2143760</v>
      </c>
      <c r="D56" s="2" t="s">
        <v>90</v>
      </c>
      <c r="E56" s="6">
        <f>SUM(E9:E55)</f>
        <v>20137</v>
      </c>
      <c r="F56" s="27">
        <f>SUM(F9:F55)</f>
        <v>2444257</v>
      </c>
      <c r="G56" s="28">
        <f>SUM(G9:G55)</f>
        <v>2143725</v>
      </c>
      <c r="H56" s="6">
        <f>SUM(H9:H55)</f>
        <v>7516861</v>
      </c>
      <c r="I56" s="6">
        <f>SUM(I9:I55)</f>
        <v>7530576</v>
      </c>
      <c r="J56" s="5">
        <f>(H56-I56)/I56</f>
        <v>-0.0018212418279823482</v>
      </c>
      <c r="K56" s="3">
        <f>(H56-G56)/H56</f>
        <v>0.7148111425766687</v>
      </c>
      <c r="L56" s="6">
        <f>SUM(L9:L55)</f>
        <v>2596528</v>
      </c>
      <c r="M56" s="5">
        <f>SUM(M9:M55)</f>
        <v>0.7074235212991714</v>
      </c>
      <c r="N56" s="6">
        <f>SUM(N9:N55)</f>
        <v>1785118</v>
      </c>
      <c r="O56" s="6">
        <f>SUM(O9:O55)</f>
        <v>2596528</v>
      </c>
      <c r="P56" s="6">
        <f>SUM(P9:P55)</f>
        <v>3501610</v>
      </c>
      <c r="Q56" s="5">
        <f>(O56-P56)/P56</f>
        <v>-0.2584759582020842</v>
      </c>
    </row>
    <row r="57" spans="6:15" ht="11.25">
      <c r="F57" s="27"/>
      <c r="G57" s="28"/>
      <c r="L57" s="4"/>
      <c r="M57" s="5"/>
      <c r="N57" s="6"/>
      <c r="O57" s="6"/>
    </row>
    <row r="58" spans="1:17" ht="11.25">
      <c r="A58" s="48">
        <v>373157</v>
      </c>
      <c r="B58" s="48">
        <v>170537</v>
      </c>
      <c r="D58" s="8" t="s">
        <v>40</v>
      </c>
      <c r="E58" s="31">
        <v>3682</v>
      </c>
      <c r="F58" s="25">
        <f>A58-madintb-nonmplscid</f>
        <v>193582</v>
      </c>
      <c r="G58" s="26">
        <f>B58-madintl+E58</f>
        <v>100734</v>
      </c>
      <c r="H58" s="25">
        <f>MADCKO</f>
        <v>643073</v>
      </c>
      <c r="I58" s="31">
        <v>817150</v>
      </c>
      <c r="J58" s="9">
        <f aca="true" t="shared" si="6" ref="J58:J68">(H58-I58)/I58</f>
        <v>-0.21302943156091292</v>
      </c>
      <c r="K58" s="9">
        <f aca="true" t="shared" si="7" ref="K58:K68">(H58-G58)/H58</f>
        <v>0.8433552644878575</v>
      </c>
      <c r="L58" s="34">
        <v>136985</v>
      </c>
      <c r="M58" s="9">
        <f aca="true" t="shared" si="8" ref="M58:M68">L58/allholds</f>
        <v>0.037321535167410866</v>
      </c>
      <c r="N58" s="31">
        <v>154131</v>
      </c>
      <c r="O58" s="25">
        <f>MADHLD</f>
        <v>136985</v>
      </c>
      <c r="P58" s="31">
        <v>60441</v>
      </c>
      <c r="Q58" s="9">
        <f>(O58-P58)/P58</f>
        <v>1.2664251087837726</v>
      </c>
    </row>
    <row r="59" spans="1:17" ht="12.75">
      <c r="A59" s="48">
        <v>37127</v>
      </c>
      <c r="B59" s="52">
        <v>8190</v>
      </c>
      <c r="D59" s="6" t="s">
        <v>127</v>
      </c>
      <c r="E59" s="36">
        <v>297</v>
      </c>
      <c r="F59" s="27">
        <f>A59-cenintb</f>
        <v>14821</v>
      </c>
      <c r="G59" s="28">
        <f>B59-cenintl+E59</f>
        <v>4595</v>
      </c>
      <c r="H59" s="27">
        <f>CENCKO</f>
        <v>16051</v>
      </c>
      <c r="I59" s="36" t="s">
        <v>95</v>
      </c>
      <c r="J59" s="5" t="s">
        <v>95</v>
      </c>
      <c r="K59" s="3">
        <f t="shared" si="7"/>
        <v>0.7137250015575354</v>
      </c>
      <c r="L59" s="35">
        <v>15524</v>
      </c>
      <c r="M59" s="5">
        <f t="shared" si="8"/>
        <v>0.004229510617504736</v>
      </c>
      <c r="N59" s="36">
        <v>9757</v>
      </c>
      <c r="O59" s="27">
        <f>CENHLD</f>
        <v>15524</v>
      </c>
      <c r="P59" s="36" t="s">
        <v>95</v>
      </c>
      <c r="Q59" s="5" t="s">
        <v>95</v>
      </c>
    </row>
    <row r="60" spans="1:17" ht="11.25">
      <c r="A60" s="48">
        <v>139437</v>
      </c>
      <c r="B60" s="48">
        <v>163123</v>
      </c>
      <c r="D60" s="6" t="s">
        <v>42</v>
      </c>
      <c r="E60" s="36">
        <v>2049</v>
      </c>
      <c r="F60" s="27">
        <f>A60-hpbintb</f>
        <v>79862</v>
      </c>
      <c r="G60" s="28">
        <f>B60-hpbintl+E60</f>
        <v>99606</v>
      </c>
      <c r="H60" s="27">
        <f>HPBCKO</f>
        <v>555642</v>
      </c>
      <c r="I60" s="36">
        <v>599474</v>
      </c>
      <c r="J60" s="5">
        <f t="shared" si="6"/>
        <v>-0.07311743294955245</v>
      </c>
      <c r="K60" s="3">
        <f t="shared" si="7"/>
        <v>0.8207370933082813</v>
      </c>
      <c r="L60" s="35">
        <v>126091</v>
      </c>
      <c r="M60" s="5">
        <f t="shared" si="8"/>
        <v>0.03435346710073368</v>
      </c>
      <c r="N60" s="36">
        <v>133962</v>
      </c>
      <c r="O60" s="27">
        <f>HPBHLD</f>
        <v>126091</v>
      </c>
      <c r="P60" s="36">
        <v>30011</v>
      </c>
      <c r="Q60" s="5">
        <f aca="true" t="shared" si="9" ref="Q60:Q67">(O60-P60)/P60</f>
        <v>3.2014927859784748</v>
      </c>
    </row>
    <row r="61" spans="1:17" ht="11.25">
      <c r="A61" s="48">
        <v>80010</v>
      </c>
      <c r="B61" s="48">
        <v>130951</v>
      </c>
      <c r="D61" s="8" t="s">
        <v>44</v>
      </c>
      <c r="E61" s="31">
        <v>1291</v>
      </c>
      <c r="F61" s="25">
        <f>A61-hawintb</f>
        <v>42520</v>
      </c>
      <c r="G61" s="26">
        <f>B61-hawintl+E61</f>
        <v>73571</v>
      </c>
      <c r="H61" s="25">
        <f>HAWCKO</f>
        <v>363324</v>
      </c>
      <c r="I61" s="31">
        <v>381406</v>
      </c>
      <c r="J61" s="9">
        <f t="shared" si="6"/>
        <v>-0.047408797973812686</v>
      </c>
      <c r="K61" s="9">
        <f t="shared" si="7"/>
        <v>0.7975058074886328</v>
      </c>
      <c r="L61" s="34">
        <v>94036</v>
      </c>
      <c r="M61" s="9">
        <f t="shared" si="8"/>
        <v>0.02562008892216409</v>
      </c>
      <c r="N61" s="31">
        <v>99011</v>
      </c>
      <c r="O61" s="25">
        <f>HAWHLD</f>
        <v>94036</v>
      </c>
      <c r="P61" s="31">
        <v>24860</v>
      </c>
      <c r="Q61" s="9">
        <f t="shared" si="9"/>
        <v>2.782622687047466</v>
      </c>
    </row>
    <row r="62" spans="1:17" ht="11.25">
      <c r="A62" s="48">
        <v>83395</v>
      </c>
      <c r="B62" s="48">
        <v>139448</v>
      </c>
      <c r="D62" s="6" t="s">
        <v>46</v>
      </c>
      <c r="E62" s="36">
        <v>1507</v>
      </c>
      <c r="F62" s="27">
        <f>A62-lakintb</f>
        <v>42033</v>
      </c>
      <c r="G62" s="28">
        <f>B62-lakintl+E62</f>
        <v>81776</v>
      </c>
      <c r="H62" s="27">
        <f>LAKCKO</f>
        <v>380671</v>
      </c>
      <c r="I62" s="36">
        <v>410827</v>
      </c>
      <c r="J62" s="5">
        <f t="shared" si="6"/>
        <v>-0.0734031599675776</v>
      </c>
      <c r="K62" s="3">
        <f t="shared" si="7"/>
        <v>0.7851793280812039</v>
      </c>
      <c r="L62" s="35">
        <v>107290</v>
      </c>
      <c r="M62" s="5">
        <f t="shared" si="8"/>
        <v>0.02923113850502983</v>
      </c>
      <c r="N62" s="36">
        <v>111111</v>
      </c>
      <c r="O62" s="27">
        <f>LAKHLD</f>
        <v>107290</v>
      </c>
      <c r="P62" s="36">
        <v>40460</v>
      </c>
      <c r="Q62" s="5">
        <f t="shared" si="9"/>
        <v>1.6517548195748888</v>
      </c>
    </row>
    <row r="63" spans="1:17" ht="11.25">
      <c r="A63" s="48">
        <v>80249</v>
      </c>
      <c r="B63" s="48">
        <v>135776</v>
      </c>
      <c r="D63" s="6" t="s">
        <v>48</v>
      </c>
      <c r="E63" s="36">
        <v>1311</v>
      </c>
      <c r="F63" s="27">
        <f>A63-meaintb</f>
        <v>39266</v>
      </c>
      <c r="G63" s="28">
        <f>B63-meaintl+E63</f>
        <v>83818</v>
      </c>
      <c r="H63" s="27">
        <f>MEACKO</f>
        <v>351975</v>
      </c>
      <c r="I63" s="36">
        <v>387698</v>
      </c>
      <c r="J63" s="5">
        <f t="shared" si="6"/>
        <v>-0.09214130586177902</v>
      </c>
      <c r="K63" s="3">
        <f t="shared" si="7"/>
        <v>0.7618637687335749</v>
      </c>
      <c r="L63" s="35">
        <v>99362</v>
      </c>
      <c r="M63" s="5">
        <f t="shared" si="8"/>
        <v>0.02707115653030827</v>
      </c>
      <c r="N63" s="36">
        <v>109799</v>
      </c>
      <c r="O63" s="27">
        <f>MEAHLD</f>
        <v>99362</v>
      </c>
      <c r="P63" s="36">
        <v>25635</v>
      </c>
      <c r="Q63" s="5">
        <f t="shared" si="9"/>
        <v>2.876028866783694</v>
      </c>
    </row>
    <row r="64" spans="1:17" ht="11.25">
      <c r="A64" s="48">
        <v>39257</v>
      </c>
      <c r="B64" s="48">
        <v>84739</v>
      </c>
      <c r="D64" s="8" t="s">
        <v>50</v>
      </c>
      <c r="E64" s="31">
        <v>801</v>
      </c>
      <c r="F64" s="25">
        <f>A64-msbintb</f>
        <v>17595</v>
      </c>
      <c r="G64" s="26">
        <f>B64-msbintl+E64</f>
        <v>48736</v>
      </c>
      <c r="H64" s="25">
        <f>MSBCKO</f>
        <v>190223</v>
      </c>
      <c r="I64" s="31">
        <v>208586</v>
      </c>
      <c r="J64" s="9">
        <f t="shared" si="6"/>
        <v>-0.08803563038746608</v>
      </c>
      <c r="K64" s="9">
        <f t="shared" si="7"/>
        <v>0.743795440088738</v>
      </c>
      <c r="L64" s="34">
        <v>56575</v>
      </c>
      <c r="M64" s="9">
        <f t="shared" si="8"/>
        <v>0.01541384715185071</v>
      </c>
      <c r="N64" s="31">
        <v>60972</v>
      </c>
      <c r="O64" s="25">
        <f>MSBHLD</f>
        <v>56575</v>
      </c>
      <c r="P64" s="31">
        <v>12387</v>
      </c>
      <c r="Q64" s="9">
        <f t="shared" si="9"/>
        <v>3.5672882861064017</v>
      </c>
    </row>
    <row r="65" spans="1:17" ht="11.25">
      <c r="A65" s="48">
        <v>119882</v>
      </c>
      <c r="B65" s="48">
        <v>220832</v>
      </c>
      <c r="D65" s="6" t="s">
        <v>52</v>
      </c>
      <c r="E65" s="36">
        <v>2656</v>
      </c>
      <c r="F65" s="27">
        <f>A65-pinintb</f>
        <v>57019</v>
      </c>
      <c r="G65" s="28">
        <f>B65-pinintl+E65</f>
        <v>143825</v>
      </c>
      <c r="H65" s="27">
        <f>PINCKO</f>
        <v>686932</v>
      </c>
      <c r="I65" s="36">
        <v>721073</v>
      </c>
      <c r="J65" s="5">
        <f t="shared" si="6"/>
        <v>-0.04734749463646538</v>
      </c>
      <c r="K65" s="3">
        <f t="shared" si="7"/>
        <v>0.790627019850582</v>
      </c>
      <c r="L65" s="35">
        <v>165007</v>
      </c>
      <c r="M65" s="5">
        <f t="shared" si="8"/>
        <v>0.044956123322765</v>
      </c>
      <c r="N65" s="36">
        <v>177776</v>
      </c>
      <c r="O65" s="27">
        <f>PINHLD</f>
        <v>165007</v>
      </c>
      <c r="P65" s="36">
        <v>34868</v>
      </c>
      <c r="Q65" s="5">
        <f t="shared" si="9"/>
        <v>3.7323333715727887</v>
      </c>
    </row>
    <row r="66" spans="1:17" ht="11.25">
      <c r="A66" s="48">
        <v>146988</v>
      </c>
      <c r="B66" s="48">
        <v>289248</v>
      </c>
      <c r="D66" s="6" t="s">
        <v>54</v>
      </c>
      <c r="E66" s="36">
        <v>3125</v>
      </c>
      <c r="F66" s="27">
        <f>A66-seqintb</f>
        <v>68290</v>
      </c>
      <c r="G66" s="28">
        <f>B66-seqintl+E66</f>
        <v>193570</v>
      </c>
      <c r="H66" s="27">
        <f>SEQCKO</f>
        <v>993029</v>
      </c>
      <c r="I66" s="36">
        <v>1054609</v>
      </c>
      <c r="J66" s="5">
        <f t="shared" si="6"/>
        <v>-0.05839130900646591</v>
      </c>
      <c r="K66" s="3">
        <f t="shared" si="7"/>
        <v>0.8050711509935762</v>
      </c>
      <c r="L66" s="35">
        <v>215483</v>
      </c>
      <c r="M66" s="5">
        <f t="shared" si="8"/>
        <v>0.05870829917494028</v>
      </c>
      <c r="N66" s="36">
        <v>236206</v>
      </c>
      <c r="O66" s="27">
        <f>SEQHLD</f>
        <v>215483</v>
      </c>
      <c r="P66" s="36">
        <v>54810</v>
      </c>
      <c r="Q66" s="5">
        <f t="shared" si="9"/>
        <v>2.931454114212735</v>
      </c>
    </row>
    <row r="67" spans="1:17" ht="11.25">
      <c r="A67" s="48">
        <v>53350</v>
      </c>
      <c r="B67" s="48">
        <v>74805</v>
      </c>
      <c r="D67" s="8" t="s">
        <v>56</v>
      </c>
      <c r="E67" s="31">
        <v>489</v>
      </c>
      <c r="F67" s="25">
        <f>A67-smbintb</f>
        <v>22324</v>
      </c>
      <c r="G67" s="26">
        <f>B67-smbintl+E67</f>
        <v>48251</v>
      </c>
      <c r="H67" s="25">
        <f>SMBCKO</f>
        <v>235584</v>
      </c>
      <c r="I67" s="31">
        <v>211429</v>
      </c>
      <c r="J67" s="9">
        <f t="shared" si="6"/>
        <v>0.11424639004110126</v>
      </c>
      <c r="K67" s="9">
        <f t="shared" si="7"/>
        <v>0.7951855813637598</v>
      </c>
      <c r="L67" s="34">
        <v>53699</v>
      </c>
      <c r="M67" s="9">
        <f t="shared" si="8"/>
        <v>0.014630281541444655</v>
      </c>
      <c r="N67" s="31">
        <v>69974</v>
      </c>
      <c r="O67" s="25">
        <f>SMBHLD</f>
        <v>53699</v>
      </c>
      <c r="P67" s="31">
        <v>15578</v>
      </c>
      <c r="Q67" s="9">
        <f t="shared" si="9"/>
        <v>2.447104891513673</v>
      </c>
    </row>
    <row r="68" spans="1:17" ht="11.25">
      <c r="A68" s="48">
        <v>1703</v>
      </c>
      <c r="B68" s="48">
        <v>95</v>
      </c>
      <c r="D68" s="6" t="s">
        <v>22</v>
      </c>
      <c r="E68" s="36">
        <v>1</v>
      </c>
      <c r="F68" s="27">
        <f>A68-mrsintb</f>
        <v>667</v>
      </c>
      <c r="G68" s="28">
        <f>B68-mrsintl+E68</f>
        <v>31</v>
      </c>
      <c r="H68" s="27">
        <f>MRSCKO</f>
        <v>106</v>
      </c>
      <c r="I68" s="36">
        <v>1518</v>
      </c>
      <c r="J68" s="5">
        <f t="shared" si="6"/>
        <v>-0.930171277997365</v>
      </c>
      <c r="K68" s="3">
        <f t="shared" si="7"/>
        <v>0.7075471698113207</v>
      </c>
      <c r="L68" s="35">
        <v>3821</v>
      </c>
      <c r="M68" s="5">
        <f t="shared" si="8"/>
        <v>0.001041030666676475</v>
      </c>
      <c r="N68" s="36">
        <v>42</v>
      </c>
      <c r="O68" s="27">
        <f>MRSHLD</f>
        <v>3821</v>
      </c>
      <c r="P68" s="36">
        <v>11111</v>
      </c>
      <c r="Q68" s="5" t="s">
        <v>95</v>
      </c>
    </row>
    <row r="69" spans="1:17" ht="11.25">
      <c r="A69" s="10" t="s">
        <v>59</v>
      </c>
      <c r="B69" s="10" t="s">
        <v>59</v>
      </c>
      <c r="D69" s="11" t="s">
        <v>59</v>
      </c>
      <c r="E69" s="11" t="s">
        <v>59</v>
      </c>
      <c r="F69" s="29" t="s">
        <v>59</v>
      </c>
      <c r="G69" s="30" t="s">
        <v>59</v>
      </c>
      <c r="H69" s="11" t="s">
        <v>59</v>
      </c>
      <c r="I69" s="11" t="s">
        <v>59</v>
      </c>
      <c r="J69" s="13" t="s">
        <v>59</v>
      </c>
      <c r="K69" s="13" t="s">
        <v>59</v>
      </c>
      <c r="L69" s="14" t="s">
        <v>59</v>
      </c>
      <c r="M69" s="15" t="s">
        <v>59</v>
      </c>
      <c r="N69" s="12" t="s">
        <v>59</v>
      </c>
      <c r="O69" s="12" t="s">
        <v>59</v>
      </c>
      <c r="P69" s="11" t="s">
        <v>59</v>
      </c>
      <c r="Q69" s="13" t="s">
        <v>59</v>
      </c>
    </row>
    <row r="70" spans="1:17" ht="11.25">
      <c r="A70" s="11">
        <f>SUM(A57:A69)</f>
        <v>1154555</v>
      </c>
      <c r="B70" s="11">
        <f>SUM(B57:B69)</f>
        <v>1417744</v>
      </c>
      <c r="D70" s="2" t="s">
        <v>91</v>
      </c>
      <c r="E70" s="6">
        <f>SUM(E57:E69)</f>
        <v>17209</v>
      </c>
      <c r="F70" s="27">
        <f>SUM(F57:F69)</f>
        <v>577979</v>
      </c>
      <c r="G70" s="28">
        <f>SUM(G57:G69)</f>
        <v>878513</v>
      </c>
      <c r="H70" s="2">
        <f>SUM(H57:H69)</f>
        <v>4416610</v>
      </c>
      <c r="I70" s="2">
        <f>SUM(I57:I69)</f>
        <v>4793770</v>
      </c>
      <c r="J70" s="5">
        <f>(H70-I70)/I70</f>
        <v>-0.07867711634058372</v>
      </c>
      <c r="K70" s="3">
        <f>(H70-G70)/H70</f>
        <v>0.8010888441587553</v>
      </c>
      <c r="L70" s="4">
        <f>SUM(L57:L69)</f>
        <v>1073873</v>
      </c>
      <c r="M70" s="3">
        <f>SUM(M57:M69)</f>
        <v>0.2925764787008286</v>
      </c>
      <c r="N70" s="6">
        <f>SUM(N57:N69)</f>
        <v>1162741</v>
      </c>
      <c r="O70" s="6">
        <f>SUM(O57:O69)</f>
        <v>1073873</v>
      </c>
      <c r="P70" s="2">
        <f>SUM(P57:P69)</f>
        <v>310161</v>
      </c>
      <c r="Q70" s="5">
        <f>(O70-P70)/P70</f>
        <v>2.462308285051957</v>
      </c>
    </row>
    <row r="71" spans="1:17" ht="11.25">
      <c r="A71" s="10" t="s">
        <v>92</v>
      </c>
      <c r="B71" s="10" t="s">
        <v>92</v>
      </c>
      <c r="D71" s="11" t="s">
        <v>92</v>
      </c>
      <c r="E71" s="11" t="s">
        <v>92</v>
      </c>
      <c r="F71" s="29" t="s">
        <v>92</v>
      </c>
      <c r="G71" s="30" t="s">
        <v>92</v>
      </c>
      <c r="H71" s="11" t="s">
        <v>92</v>
      </c>
      <c r="I71" s="11" t="s">
        <v>92</v>
      </c>
      <c r="J71" s="13" t="s">
        <v>92</v>
      </c>
      <c r="K71" s="13" t="s">
        <v>92</v>
      </c>
      <c r="L71" s="14" t="s">
        <v>92</v>
      </c>
      <c r="M71" s="15" t="s">
        <v>92</v>
      </c>
      <c r="N71" s="12" t="s">
        <v>92</v>
      </c>
      <c r="O71" s="12" t="s">
        <v>92</v>
      </c>
      <c r="P71" s="11" t="s">
        <v>92</v>
      </c>
      <c r="Q71" s="13" t="s">
        <v>92</v>
      </c>
    </row>
    <row r="72" spans="1:17" ht="11.25">
      <c r="A72" s="1">
        <f>A56+A70</f>
        <v>3561501</v>
      </c>
      <c r="B72" s="1">
        <f>B56+B70</f>
        <v>3561504</v>
      </c>
      <c r="D72" s="2" t="s">
        <v>93</v>
      </c>
      <c r="E72" s="6">
        <f>mplscid+nonmplscid</f>
        <v>37346</v>
      </c>
      <c r="F72" s="27">
        <f>F70+F56</f>
        <v>3022236</v>
      </c>
      <c r="G72" s="28">
        <f>G70+G56</f>
        <v>3022238</v>
      </c>
      <c r="H72" s="2">
        <f>H70+H56</f>
        <v>11933471</v>
      </c>
      <c r="I72" s="2">
        <f>I70+I56</f>
        <v>12324346</v>
      </c>
      <c r="J72" s="5">
        <f>(H72-I72)/I72</f>
        <v>-0.03171567886847708</v>
      </c>
      <c r="K72" s="3">
        <f>(H72-G72)/H72</f>
        <v>0.7467427540570551</v>
      </c>
      <c r="L72" s="4">
        <f>L70+L56</f>
        <v>3670401</v>
      </c>
      <c r="M72" s="5">
        <f>M70+M56</f>
        <v>1</v>
      </c>
      <c r="N72" s="6">
        <f>N70+N56</f>
        <v>2947859</v>
      </c>
      <c r="O72" s="6">
        <f>O70+O56</f>
        <v>3670401</v>
      </c>
      <c r="P72" s="2">
        <f>P70+P56</f>
        <v>3811771</v>
      </c>
      <c r="Q72" s="5">
        <f>(O72-P72)/P72</f>
        <v>-0.037087747401404754</v>
      </c>
    </row>
  </sheetData>
  <sheetProtection/>
  <mergeCells count="9">
    <mergeCell ref="A5:B5"/>
    <mergeCell ref="F5:G5"/>
    <mergeCell ref="L3:O3"/>
    <mergeCell ref="E1:H1"/>
    <mergeCell ref="I1:J1"/>
    <mergeCell ref="F3:G3"/>
    <mergeCell ref="H3:J3"/>
    <mergeCell ref="A4:B4"/>
    <mergeCell ref="F4:G4"/>
  </mergeCells>
  <printOptions horizontalCentered="1"/>
  <pageMargins left="0.25" right="0.25" top="0.45" bottom="0.45" header="0.5" footer="0.5"/>
  <pageSetup horizontalDpi="600" verticalDpi="600" orientation="landscape" scale="89" r:id="rId3"/>
  <ignoredErrors>
    <ignoredError sqref="F43:G43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I44" sqref="I44"/>
    </sheetView>
  </sheetViews>
  <sheetFormatPr defaultColWidth="9.140625" defaultRowHeight="12.75"/>
  <sheetData>
    <row r="1" spans="1:13" ht="12.75">
      <c r="A1" s="1" t="s">
        <v>1</v>
      </c>
      <c r="B1" s="1"/>
      <c r="C1" s="1"/>
      <c r="D1" s="1"/>
      <c r="E1" s="1"/>
      <c r="F1" s="67" t="str">
        <f>'LINK Summary'!I1</f>
        <v>Annual 2011</v>
      </c>
      <c r="G1" s="6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6"/>
      <c r="C3" s="16"/>
      <c r="D3" s="18"/>
      <c r="E3" s="19"/>
      <c r="F3" s="16"/>
      <c r="G3" s="16"/>
      <c r="H3" s="18"/>
      <c r="I3" s="19"/>
      <c r="J3" s="18"/>
      <c r="K3" s="19"/>
      <c r="L3" s="16"/>
      <c r="M3" s="16"/>
    </row>
    <row r="4" spans="1:13" ht="12.75">
      <c r="A4" s="1"/>
      <c r="B4" s="66" t="s">
        <v>130</v>
      </c>
      <c r="C4" s="66"/>
      <c r="D4" s="66" t="s">
        <v>131</v>
      </c>
      <c r="E4" s="66"/>
      <c r="F4" s="65" t="s">
        <v>14</v>
      </c>
      <c r="G4" s="68"/>
      <c r="H4" s="49" t="s">
        <v>15</v>
      </c>
      <c r="I4" s="49"/>
      <c r="J4" s="50" t="s">
        <v>16</v>
      </c>
      <c r="K4" s="51"/>
      <c r="L4" s="50" t="s">
        <v>17</v>
      </c>
      <c r="M4" s="51"/>
    </row>
    <row r="5" spans="1:13" ht="12.75">
      <c r="A5" s="1"/>
      <c r="B5" s="17" t="s">
        <v>32</v>
      </c>
      <c r="C5" s="17" t="s">
        <v>33</v>
      </c>
      <c r="D5" s="17" t="s">
        <v>32</v>
      </c>
      <c r="E5" s="17" t="s">
        <v>33</v>
      </c>
      <c r="F5" s="20" t="s">
        <v>32</v>
      </c>
      <c r="G5" s="21" t="s">
        <v>33</v>
      </c>
      <c r="H5" s="17" t="s">
        <v>32</v>
      </c>
      <c r="I5" s="17" t="s">
        <v>33</v>
      </c>
      <c r="J5" s="20" t="s">
        <v>32</v>
      </c>
      <c r="K5" s="21" t="s">
        <v>33</v>
      </c>
      <c r="L5" s="20" t="s">
        <v>32</v>
      </c>
      <c r="M5" s="21" t="s">
        <v>33</v>
      </c>
    </row>
    <row r="6" spans="1:13" ht="12.75">
      <c r="A6" s="1"/>
      <c r="B6" s="16"/>
      <c r="C6" s="16"/>
      <c r="E6" s="40"/>
      <c r="F6" s="18"/>
      <c r="G6" s="19"/>
      <c r="H6" s="16"/>
      <c r="I6" s="16"/>
      <c r="J6" s="18"/>
      <c r="K6" s="19"/>
      <c r="L6" s="18"/>
      <c r="M6" s="19"/>
    </row>
    <row r="7" spans="1:13" ht="12.75">
      <c r="A7" s="24" t="s">
        <v>40</v>
      </c>
      <c r="B7" s="40">
        <v>127</v>
      </c>
      <c r="C7" s="40">
        <v>127</v>
      </c>
      <c r="D7" s="40">
        <v>12214</v>
      </c>
      <c r="E7" s="40">
        <v>1374</v>
      </c>
      <c r="F7" s="41">
        <v>14952</v>
      </c>
      <c r="G7" s="42">
        <v>18201</v>
      </c>
      <c r="H7" s="40">
        <v>8285</v>
      </c>
      <c r="I7" s="40">
        <v>15787</v>
      </c>
      <c r="J7" s="41">
        <v>6805</v>
      </c>
      <c r="K7" s="42">
        <v>17122</v>
      </c>
      <c r="L7" s="41">
        <v>5920</v>
      </c>
      <c r="M7" s="42">
        <v>15380</v>
      </c>
    </row>
    <row r="8" spans="1:13" ht="12.75">
      <c r="A8" s="24" t="s">
        <v>127</v>
      </c>
      <c r="B8" s="40">
        <v>1373</v>
      </c>
      <c r="C8" s="40">
        <v>12211</v>
      </c>
      <c r="D8" s="40">
        <v>0</v>
      </c>
      <c r="E8" s="40">
        <v>0</v>
      </c>
      <c r="F8" s="41">
        <v>530</v>
      </c>
      <c r="G8" s="42">
        <v>1262</v>
      </c>
      <c r="H8" s="40">
        <v>269</v>
      </c>
      <c r="I8" s="40">
        <v>1213</v>
      </c>
      <c r="J8" s="41">
        <v>261</v>
      </c>
      <c r="K8" s="42">
        <v>1137</v>
      </c>
      <c r="L8" s="41">
        <v>228</v>
      </c>
      <c r="M8" s="42">
        <v>971</v>
      </c>
    </row>
    <row r="9" spans="1:13" ht="12.75">
      <c r="A9" s="1" t="s">
        <v>42</v>
      </c>
      <c r="B9" s="37">
        <v>18201</v>
      </c>
      <c r="C9" s="37">
        <v>14950</v>
      </c>
      <c r="D9" s="40">
        <v>1262</v>
      </c>
      <c r="E9" s="40">
        <v>530</v>
      </c>
      <c r="F9" s="38">
        <v>18</v>
      </c>
      <c r="G9" s="39">
        <v>18</v>
      </c>
      <c r="H9" s="37">
        <v>6759</v>
      </c>
      <c r="I9" s="37">
        <v>4974</v>
      </c>
      <c r="J9" s="38">
        <v>8280</v>
      </c>
      <c r="K9" s="39">
        <v>7233</v>
      </c>
      <c r="L9" s="38">
        <v>7110</v>
      </c>
      <c r="M9" s="39">
        <v>5189</v>
      </c>
    </row>
    <row r="10" spans="1:13" ht="12.75">
      <c r="A10" s="24" t="s">
        <v>44</v>
      </c>
      <c r="B10" s="40">
        <v>15787</v>
      </c>
      <c r="C10" s="40">
        <v>8285</v>
      </c>
      <c r="D10" s="40">
        <v>1213</v>
      </c>
      <c r="E10" s="40">
        <v>269</v>
      </c>
      <c r="F10" s="41">
        <v>4974</v>
      </c>
      <c r="G10" s="42">
        <v>6759</v>
      </c>
      <c r="H10" s="40">
        <v>2</v>
      </c>
      <c r="I10" s="40">
        <v>2</v>
      </c>
      <c r="J10" s="41">
        <v>8325</v>
      </c>
      <c r="K10" s="42">
        <v>3106</v>
      </c>
      <c r="L10" s="41">
        <v>6368</v>
      </c>
      <c r="M10" s="42">
        <v>2684</v>
      </c>
    </row>
    <row r="11" spans="1:13" ht="12.75">
      <c r="A11" s="1" t="s">
        <v>46</v>
      </c>
      <c r="B11" s="37">
        <v>17121</v>
      </c>
      <c r="C11" s="37">
        <v>6805</v>
      </c>
      <c r="D11" s="40">
        <v>1138</v>
      </c>
      <c r="E11" s="40">
        <v>261</v>
      </c>
      <c r="F11" s="38">
        <v>7233</v>
      </c>
      <c r="G11" s="39">
        <v>8280</v>
      </c>
      <c r="H11" s="37">
        <v>3106</v>
      </c>
      <c r="I11" s="37">
        <v>8326</v>
      </c>
      <c r="J11" s="38">
        <v>6</v>
      </c>
      <c r="K11" s="39">
        <v>6</v>
      </c>
      <c r="L11" s="38">
        <v>7714</v>
      </c>
      <c r="M11" s="39">
        <v>2593</v>
      </c>
    </row>
    <row r="12" spans="1:13" ht="12.75">
      <c r="A12" s="24" t="s">
        <v>48</v>
      </c>
      <c r="B12" s="40">
        <v>15379</v>
      </c>
      <c r="C12" s="40">
        <v>5920</v>
      </c>
      <c r="D12" s="40">
        <v>972</v>
      </c>
      <c r="E12" s="40">
        <v>228</v>
      </c>
      <c r="F12" s="41">
        <v>5189</v>
      </c>
      <c r="G12" s="42">
        <v>7110</v>
      </c>
      <c r="H12" s="40">
        <v>2684</v>
      </c>
      <c r="I12" s="40">
        <v>6368</v>
      </c>
      <c r="J12" s="41">
        <v>2592</v>
      </c>
      <c r="K12" s="42">
        <v>7714</v>
      </c>
      <c r="L12" s="41">
        <v>2</v>
      </c>
      <c r="M12" s="42">
        <v>2</v>
      </c>
    </row>
    <row r="13" spans="1:13" ht="12.75">
      <c r="A13" s="1" t="s">
        <v>50</v>
      </c>
      <c r="B13" s="37">
        <v>11047</v>
      </c>
      <c r="C13" s="37">
        <v>2716</v>
      </c>
      <c r="D13" s="40">
        <v>728</v>
      </c>
      <c r="E13" s="40">
        <v>102</v>
      </c>
      <c r="F13" s="38">
        <v>2809</v>
      </c>
      <c r="G13" s="39">
        <v>2896</v>
      </c>
      <c r="H13" s="37">
        <v>1657</v>
      </c>
      <c r="I13" s="37">
        <v>2757</v>
      </c>
      <c r="J13" s="38">
        <v>1602</v>
      </c>
      <c r="K13" s="39">
        <v>2946</v>
      </c>
      <c r="L13" s="38">
        <v>1427</v>
      </c>
      <c r="M13" s="39">
        <v>3710</v>
      </c>
    </row>
    <row r="14" spans="1:13" ht="12.75">
      <c r="A14" s="24" t="s">
        <v>52</v>
      </c>
      <c r="B14" s="40">
        <v>27489</v>
      </c>
      <c r="C14" s="40">
        <v>8410</v>
      </c>
      <c r="D14" s="40">
        <v>1857</v>
      </c>
      <c r="E14" s="40">
        <v>302</v>
      </c>
      <c r="F14" s="41">
        <v>8004</v>
      </c>
      <c r="G14" s="42">
        <v>8274</v>
      </c>
      <c r="H14" s="40">
        <v>5508</v>
      </c>
      <c r="I14" s="40">
        <v>8332</v>
      </c>
      <c r="J14" s="41">
        <v>4882</v>
      </c>
      <c r="K14" s="42">
        <v>8547</v>
      </c>
      <c r="L14" s="41">
        <v>4502</v>
      </c>
      <c r="M14" s="42">
        <v>9906</v>
      </c>
    </row>
    <row r="15" spans="1:13" ht="12.75">
      <c r="A15" s="1" t="s">
        <v>54</v>
      </c>
      <c r="B15" s="37">
        <v>42070</v>
      </c>
      <c r="C15" s="37">
        <v>10458</v>
      </c>
      <c r="D15" s="40">
        <v>2247</v>
      </c>
      <c r="E15" s="40">
        <v>677</v>
      </c>
      <c r="F15" s="38">
        <v>12485</v>
      </c>
      <c r="G15" s="39">
        <v>10082</v>
      </c>
      <c r="H15" s="37">
        <v>6901</v>
      </c>
      <c r="I15" s="37">
        <v>8529</v>
      </c>
      <c r="J15" s="38">
        <v>6777</v>
      </c>
      <c r="K15" s="39">
        <v>8700</v>
      </c>
      <c r="L15" s="38">
        <v>6173</v>
      </c>
      <c r="M15" s="39">
        <v>9964</v>
      </c>
    </row>
    <row r="16" spans="1:13" ht="12.75">
      <c r="A16" s="24" t="s">
        <v>56</v>
      </c>
      <c r="B16" s="40">
        <v>10782</v>
      </c>
      <c r="C16" s="40">
        <v>3068</v>
      </c>
      <c r="D16" s="40">
        <v>686</v>
      </c>
      <c r="E16" s="40">
        <v>142</v>
      </c>
      <c r="F16" s="41">
        <v>3383</v>
      </c>
      <c r="G16" s="42">
        <v>2590</v>
      </c>
      <c r="H16" s="40">
        <v>2317</v>
      </c>
      <c r="I16" s="40">
        <v>2261</v>
      </c>
      <c r="J16" s="41">
        <v>1817</v>
      </c>
      <c r="K16" s="42">
        <v>2614</v>
      </c>
      <c r="L16" s="41">
        <v>1539</v>
      </c>
      <c r="M16" s="42">
        <v>2763</v>
      </c>
    </row>
    <row r="17" spans="1:13" ht="12.75">
      <c r="A17" s="1" t="s">
        <v>22</v>
      </c>
      <c r="B17" s="37">
        <v>56</v>
      </c>
      <c r="C17" s="37">
        <v>530</v>
      </c>
      <c r="D17" s="40">
        <v>0</v>
      </c>
      <c r="E17" s="40">
        <v>8</v>
      </c>
      <c r="F17" s="38">
        <v>0</v>
      </c>
      <c r="G17" s="39">
        <v>94</v>
      </c>
      <c r="H17" s="37">
        <v>2</v>
      </c>
      <c r="I17" s="37">
        <v>122</v>
      </c>
      <c r="J17" s="38">
        <v>6</v>
      </c>
      <c r="K17" s="39">
        <v>54</v>
      </c>
      <c r="L17" s="38">
        <v>0</v>
      </c>
      <c r="M17" s="39">
        <v>107</v>
      </c>
    </row>
    <row r="18" spans="1:13" ht="12.75">
      <c r="A18" s="1"/>
      <c r="B18" s="12" t="s">
        <v>94</v>
      </c>
      <c r="C18" s="12" t="s">
        <v>94</v>
      </c>
      <c r="D18" s="12" t="s">
        <v>94</v>
      </c>
      <c r="E18" s="12" t="s">
        <v>94</v>
      </c>
      <c r="F18" s="22" t="s">
        <v>94</v>
      </c>
      <c r="G18" s="23" t="s">
        <v>94</v>
      </c>
      <c r="H18" s="12" t="s">
        <v>94</v>
      </c>
      <c r="I18" s="12" t="s">
        <v>94</v>
      </c>
      <c r="J18" s="22" t="s">
        <v>94</v>
      </c>
      <c r="K18" s="23" t="s">
        <v>94</v>
      </c>
      <c r="L18" s="22" t="s">
        <v>94</v>
      </c>
      <c r="M18" s="23" t="s">
        <v>94</v>
      </c>
    </row>
    <row r="19" spans="1:13" ht="12.75">
      <c r="A19" s="1"/>
      <c r="B19" s="16">
        <f aca="true" t="shared" si="0" ref="B19:M19">SUM(B6:B18)</f>
        <v>159432</v>
      </c>
      <c r="C19" s="16">
        <f t="shared" si="0"/>
        <v>73480</v>
      </c>
      <c r="D19" s="16">
        <f t="shared" si="0"/>
        <v>22317</v>
      </c>
      <c r="E19" s="16">
        <f t="shared" si="0"/>
        <v>3893</v>
      </c>
      <c r="F19" s="18">
        <f t="shared" si="0"/>
        <v>59577</v>
      </c>
      <c r="G19" s="19">
        <f t="shared" si="0"/>
        <v>65566</v>
      </c>
      <c r="H19" s="16">
        <f t="shared" si="0"/>
        <v>37490</v>
      </c>
      <c r="I19" s="16">
        <f t="shared" si="0"/>
        <v>58671</v>
      </c>
      <c r="J19" s="18">
        <f t="shared" si="0"/>
        <v>41353</v>
      </c>
      <c r="K19" s="19">
        <f t="shared" si="0"/>
        <v>59179</v>
      </c>
      <c r="L19" s="18">
        <f t="shared" si="0"/>
        <v>40983</v>
      </c>
      <c r="M19" s="19">
        <f t="shared" si="0"/>
        <v>53269</v>
      </c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/>
      <c r="B22" s="16"/>
      <c r="C22" s="16"/>
      <c r="D22" s="18"/>
      <c r="E22" s="19"/>
      <c r="F22" s="18"/>
      <c r="G22" s="19"/>
      <c r="H22" s="18"/>
      <c r="I22" s="19"/>
      <c r="J22" s="18"/>
      <c r="K22" s="16"/>
      <c r="L22" s="1"/>
      <c r="M22" s="1"/>
    </row>
    <row r="23" spans="1:13" ht="12.75">
      <c r="A23" s="1"/>
      <c r="B23" s="66" t="s">
        <v>18</v>
      </c>
      <c r="C23" s="66"/>
      <c r="D23" s="66" t="s">
        <v>19</v>
      </c>
      <c r="E23" s="66"/>
      <c r="F23" s="50" t="s">
        <v>20</v>
      </c>
      <c r="G23" s="51"/>
      <c r="H23" s="50" t="s">
        <v>21</v>
      </c>
      <c r="I23" s="51"/>
      <c r="J23" s="50" t="s">
        <v>22</v>
      </c>
      <c r="K23" s="51"/>
      <c r="L23" s="65" t="s">
        <v>23</v>
      </c>
      <c r="M23" s="66"/>
    </row>
    <row r="24" spans="1:13" ht="12.75">
      <c r="A24" s="1"/>
      <c r="B24" s="17" t="s">
        <v>32</v>
      </c>
      <c r="C24" s="17" t="s">
        <v>33</v>
      </c>
      <c r="D24" s="17" t="s">
        <v>32</v>
      </c>
      <c r="E24" s="17" t="s">
        <v>33</v>
      </c>
      <c r="F24" s="20" t="s">
        <v>32</v>
      </c>
      <c r="G24" s="21" t="s">
        <v>33</v>
      </c>
      <c r="H24" s="20" t="s">
        <v>32</v>
      </c>
      <c r="I24" s="21" t="s">
        <v>33</v>
      </c>
      <c r="J24" s="20" t="s">
        <v>32</v>
      </c>
      <c r="K24" s="21" t="s">
        <v>33</v>
      </c>
      <c r="L24" s="20" t="s">
        <v>32</v>
      </c>
      <c r="M24" s="17" t="s">
        <v>33</v>
      </c>
    </row>
    <row r="25" spans="1:13" ht="12.75">
      <c r="A25" s="1"/>
      <c r="B25" s="16"/>
      <c r="C25" s="16"/>
      <c r="D25" s="16"/>
      <c r="E25" s="16"/>
      <c r="F25" s="18"/>
      <c r="G25" s="19"/>
      <c r="H25" s="18"/>
      <c r="I25" s="19"/>
      <c r="J25" s="18"/>
      <c r="K25" s="19"/>
      <c r="L25" s="18"/>
      <c r="M25" s="16"/>
    </row>
    <row r="26" spans="1:13" ht="12.75">
      <c r="A26" s="1" t="s">
        <v>40</v>
      </c>
      <c r="B26" s="40">
        <v>2716</v>
      </c>
      <c r="C26" s="40">
        <v>11047</v>
      </c>
      <c r="D26" s="37">
        <v>8410</v>
      </c>
      <c r="E26" s="37">
        <v>27491</v>
      </c>
      <c r="F26" s="38">
        <v>10458</v>
      </c>
      <c r="G26" s="39">
        <v>42070</v>
      </c>
      <c r="H26" s="38">
        <v>3068</v>
      </c>
      <c r="I26" s="39">
        <v>10783</v>
      </c>
      <c r="J26" s="38">
        <v>530</v>
      </c>
      <c r="K26" s="39">
        <v>56</v>
      </c>
      <c r="L26" s="18">
        <f aca="true" t="shared" si="1" ref="L26:L36">B7+D7+F7+H7+J7+L7+B26+D26+F26+H26+J26</f>
        <v>73485</v>
      </c>
      <c r="M26" s="16">
        <f aca="true" t="shared" si="2" ref="M26:M36">C7+E7+G7+I7+K7+M7+C26+E26+G26+I26+K26</f>
        <v>159438</v>
      </c>
    </row>
    <row r="27" spans="1:13" ht="12.75">
      <c r="A27" s="1" t="s">
        <v>127</v>
      </c>
      <c r="B27" s="40">
        <v>102</v>
      </c>
      <c r="C27" s="40">
        <v>728</v>
      </c>
      <c r="D27" s="37">
        <v>301</v>
      </c>
      <c r="E27" s="37">
        <v>1852</v>
      </c>
      <c r="F27" s="38">
        <v>677</v>
      </c>
      <c r="G27" s="39">
        <v>2247</v>
      </c>
      <c r="H27" s="38">
        <v>143</v>
      </c>
      <c r="I27" s="39">
        <v>685</v>
      </c>
      <c r="J27" s="38">
        <v>8</v>
      </c>
      <c r="K27" s="39">
        <v>0</v>
      </c>
      <c r="L27" s="18">
        <f t="shared" si="1"/>
        <v>3892</v>
      </c>
      <c r="M27" s="16">
        <f t="shared" si="2"/>
        <v>22306</v>
      </c>
    </row>
    <row r="28" spans="1:13" ht="12.75">
      <c r="A28" s="1" t="s">
        <v>42</v>
      </c>
      <c r="B28" s="37">
        <v>2896</v>
      </c>
      <c r="C28" s="37">
        <v>2809</v>
      </c>
      <c r="D28" s="37">
        <v>8274</v>
      </c>
      <c r="E28" s="37">
        <v>8004</v>
      </c>
      <c r="F28" s="38">
        <v>10082</v>
      </c>
      <c r="G28" s="39">
        <v>12485</v>
      </c>
      <c r="H28" s="38">
        <v>2590</v>
      </c>
      <c r="I28" s="39">
        <v>3383</v>
      </c>
      <c r="J28" s="38">
        <v>94</v>
      </c>
      <c r="K28" s="39">
        <v>0</v>
      </c>
      <c r="L28" s="18">
        <f t="shared" si="1"/>
        <v>65566</v>
      </c>
      <c r="M28" s="16">
        <f t="shared" si="2"/>
        <v>59575</v>
      </c>
    </row>
    <row r="29" spans="1:13" ht="12.75">
      <c r="A29" s="1" t="s">
        <v>44</v>
      </c>
      <c r="B29" s="40">
        <v>2757</v>
      </c>
      <c r="C29" s="40">
        <v>1657</v>
      </c>
      <c r="D29" s="37">
        <v>8332</v>
      </c>
      <c r="E29" s="37">
        <v>5508</v>
      </c>
      <c r="F29" s="38">
        <v>8529</v>
      </c>
      <c r="G29" s="39">
        <v>6901</v>
      </c>
      <c r="H29" s="38">
        <v>2262</v>
      </c>
      <c r="I29" s="39">
        <v>2317</v>
      </c>
      <c r="J29" s="38">
        <v>122</v>
      </c>
      <c r="K29" s="39">
        <v>2</v>
      </c>
      <c r="L29" s="18">
        <f t="shared" si="1"/>
        <v>58671</v>
      </c>
      <c r="M29" s="16">
        <f t="shared" si="2"/>
        <v>37490</v>
      </c>
    </row>
    <row r="30" spans="1:13" ht="12.75">
      <c r="A30" s="1" t="s">
        <v>46</v>
      </c>
      <c r="B30" s="37">
        <v>2946</v>
      </c>
      <c r="C30" s="37">
        <v>1602</v>
      </c>
      <c r="D30" s="37">
        <v>8547</v>
      </c>
      <c r="E30" s="37">
        <v>4882</v>
      </c>
      <c r="F30" s="38">
        <v>8700</v>
      </c>
      <c r="G30" s="39">
        <v>6777</v>
      </c>
      <c r="H30" s="38">
        <v>2614</v>
      </c>
      <c r="I30" s="39">
        <v>1824</v>
      </c>
      <c r="J30" s="38">
        <v>54</v>
      </c>
      <c r="K30" s="39">
        <v>6</v>
      </c>
      <c r="L30" s="18">
        <f t="shared" si="1"/>
        <v>59179</v>
      </c>
      <c r="M30" s="16">
        <f t="shared" si="2"/>
        <v>41362</v>
      </c>
    </row>
    <row r="31" spans="1:13" ht="12.75">
      <c r="A31" s="1" t="s">
        <v>48</v>
      </c>
      <c r="B31" s="40">
        <v>3710</v>
      </c>
      <c r="C31" s="40">
        <v>1427</v>
      </c>
      <c r="D31" s="37">
        <v>9906</v>
      </c>
      <c r="E31" s="37">
        <v>4502</v>
      </c>
      <c r="F31" s="38">
        <v>9964</v>
      </c>
      <c r="G31" s="39">
        <v>6173</v>
      </c>
      <c r="H31" s="38">
        <v>2764</v>
      </c>
      <c r="I31" s="39">
        <v>1539</v>
      </c>
      <c r="J31" s="38">
        <v>107</v>
      </c>
      <c r="K31" s="39">
        <v>0</v>
      </c>
      <c r="L31" s="18">
        <f t="shared" si="1"/>
        <v>53269</v>
      </c>
      <c r="M31" s="16">
        <f t="shared" si="2"/>
        <v>40983</v>
      </c>
    </row>
    <row r="32" spans="1:13" ht="12.75">
      <c r="A32" s="1" t="s">
        <v>50</v>
      </c>
      <c r="B32" s="37">
        <v>2</v>
      </c>
      <c r="C32" s="37">
        <v>2</v>
      </c>
      <c r="D32" s="37">
        <v>7861</v>
      </c>
      <c r="E32" s="37">
        <v>2166</v>
      </c>
      <c r="F32" s="38">
        <v>7738</v>
      </c>
      <c r="G32" s="39">
        <v>3404</v>
      </c>
      <c r="H32" s="38">
        <v>1918</v>
      </c>
      <c r="I32" s="39">
        <v>962</v>
      </c>
      <c r="J32" s="38">
        <v>15</v>
      </c>
      <c r="K32" s="39">
        <v>1</v>
      </c>
      <c r="L32" s="18">
        <f t="shared" si="1"/>
        <v>36804</v>
      </c>
      <c r="M32" s="16">
        <f t="shared" si="2"/>
        <v>21662</v>
      </c>
    </row>
    <row r="33" spans="1:13" ht="12.75">
      <c r="A33" s="1" t="s">
        <v>52</v>
      </c>
      <c r="B33" s="40">
        <v>2166</v>
      </c>
      <c r="C33" s="40">
        <v>7861</v>
      </c>
      <c r="D33" s="37">
        <v>14</v>
      </c>
      <c r="E33" s="37">
        <v>14</v>
      </c>
      <c r="F33" s="38">
        <v>19511</v>
      </c>
      <c r="G33" s="39">
        <v>8669</v>
      </c>
      <c r="H33" s="38">
        <v>5703</v>
      </c>
      <c r="I33" s="39">
        <v>2548</v>
      </c>
      <c r="J33" s="38">
        <v>27</v>
      </c>
      <c r="K33" s="39">
        <v>0</v>
      </c>
      <c r="L33" s="18">
        <f t="shared" si="1"/>
        <v>79663</v>
      </c>
      <c r="M33" s="16">
        <f t="shared" si="2"/>
        <v>62863</v>
      </c>
    </row>
    <row r="34" spans="1:13" ht="12.75">
      <c r="A34" s="1" t="s">
        <v>54</v>
      </c>
      <c r="B34" s="37">
        <v>3404</v>
      </c>
      <c r="C34" s="37">
        <v>7738</v>
      </c>
      <c r="D34" s="37">
        <v>8669</v>
      </c>
      <c r="E34" s="37">
        <v>19511</v>
      </c>
      <c r="F34" s="38">
        <v>45</v>
      </c>
      <c r="G34" s="39">
        <v>45</v>
      </c>
      <c r="H34" s="38">
        <v>9963</v>
      </c>
      <c r="I34" s="39">
        <v>2994</v>
      </c>
      <c r="J34" s="38">
        <v>69</v>
      </c>
      <c r="K34" s="39">
        <v>0</v>
      </c>
      <c r="L34" s="18">
        <f t="shared" si="1"/>
        <v>98803</v>
      </c>
      <c r="M34" s="16">
        <f t="shared" si="2"/>
        <v>78698</v>
      </c>
    </row>
    <row r="35" spans="1:13" ht="12.75">
      <c r="A35" s="1" t="s">
        <v>56</v>
      </c>
      <c r="B35" s="40">
        <v>962</v>
      </c>
      <c r="C35" s="40">
        <v>1918</v>
      </c>
      <c r="D35" s="37">
        <v>2548</v>
      </c>
      <c r="E35" s="37">
        <v>5702</v>
      </c>
      <c r="F35" s="38">
        <v>2994</v>
      </c>
      <c r="G35" s="39">
        <v>9963</v>
      </c>
      <c r="H35" s="38">
        <v>5</v>
      </c>
      <c r="I35" s="39">
        <v>5</v>
      </c>
      <c r="J35" s="38">
        <v>10</v>
      </c>
      <c r="K35" s="39">
        <v>0</v>
      </c>
      <c r="L35" s="18">
        <f t="shared" si="1"/>
        <v>27043</v>
      </c>
      <c r="M35" s="16">
        <f t="shared" si="2"/>
        <v>31026</v>
      </c>
    </row>
    <row r="36" spans="1:13" ht="12.75">
      <c r="A36" s="1" t="s">
        <v>22</v>
      </c>
      <c r="B36" s="37">
        <v>1</v>
      </c>
      <c r="C36" s="37">
        <v>15</v>
      </c>
      <c r="D36" s="37">
        <v>0</v>
      </c>
      <c r="E36" s="37">
        <v>27</v>
      </c>
      <c r="F36" s="38">
        <v>0</v>
      </c>
      <c r="G36" s="39">
        <v>69</v>
      </c>
      <c r="H36" s="38">
        <v>0</v>
      </c>
      <c r="I36" s="39">
        <v>10</v>
      </c>
      <c r="J36" s="38">
        <v>0</v>
      </c>
      <c r="K36" s="39">
        <v>0</v>
      </c>
      <c r="L36" s="18">
        <f t="shared" si="1"/>
        <v>65</v>
      </c>
      <c r="M36" s="16">
        <f t="shared" si="2"/>
        <v>1036</v>
      </c>
    </row>
    <row r="37" spans="1:13" ht="12.75">
      <c r="A37" s="1"/>
      <c r="B37" s="12" t="s">
        <v>94</v>
      </c>
      <c r="C37" s="12" t="s">
        <v>94</v>
      </c>
      <c r="D37" s="12" t="s">
        <v>94</v>
      </c>
      <c r="E37" s="12" t="s">
        <v>94</v>
      </c>
      <c r="F37" s="22" t="s">
        <v>94</v>
      </c>
      <c r="G37" s="23" t="s">
        <v>94</v>
      </c>
      <c r="H37" s="22" t="s">
        <v>94</v>
      </c>
      <c r="I37" s="23" t="s">
        <v>94</v>
      </c>
      <c r="J37" s="22" t="s">
        <v>94</v>
      </c>
      <c r="K37" s="23" t="s">
        <v>94</v>
      </c>
      <c r="L37" s="22" t="s">
        <v>94</v>
      </c>
      <c r="M37" s="12" t="s">
        <v>94</v>
      </c>
    </row>
    <row r="38" spans="1:13" ht="12.75">
      <c r="A38" s="1"/>
      <c r="B38" s="16">
        <f aca="true" t="shared" si="3" ref="B38:M38">SUM(B25:B37)</f>
        <v>21662</v>
      </c>
      <c r="C38" s="16">
        <f t="shared" si="3"/>
        <v>36804</v>
      </c>
      <c r="D38" s="16">
        <f t="shared" si="3"/>
        <v>62862</v>
      </c>
      <c r="E38" s="16">
        <f t="shared" si="3"/>
        <v>79659</v>
      </c>
      <c r="F38" s="18">
        <f t="shared" si="3"/>
        <v>78698</v>
      </c>
      <c r="G38" s="19">
        <f t="shared" si="3"/>
        <v>98803</v>
      </c>
      <c r="H38" s="18">
        <f t="shared" si="3"/>
        <v>31030</v>
      </c>
      <c r="I38" s="19">
        <f t="shared" si="3"/>
        <v>27050</v>
      </c>
      <c r="J38" s="18">
        <f t="shared" si="3"/>
        <v>1036</v>
      </c>
      <c r="K38" s="19">
        <f t="shared" si="3"/>
        <v>65</v>
      </c>
      <c r="L38" s="18">
        <f t="shared" si="3"/>
        <v>556440</v>
      </c>
      <c r="M38" s="16">
        <f t="shared" si="3"/>
        <v>556439</v>
      </c>
    </row>
  </sheetData>
  <mergeCells count="7">
    <mergeCell ref="L23:M23"/>
    <mergeCell ref="D4:E4"/>
    <mergeCell ref="F1:G1"/>
    <mergeCell ref="B4:C4"/>
    <mergeCell ref="F4:G4"/>
    <mergeCell ref="B23:C23"/>
    <mergeCell ref="D23:E2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63"/>
  <sheetViews>
    <sheetView zoomScalePageLayoutView="0" workbookViewId="0" topLeftCell="BG25">
      <selection activeCell="BK67" sqref="BK67"/>
    </sheetView>
  </sheetViews>
  <sheetFormatPr defaultColWidth="9.140625" defaultRowHeight="12.75"/>
  <cols>
    <col min="6" max="6" width="0" style="0" hidden="1" customWidth="1"/>
    <col min="7" max="8" width="0" style="46" hidden="1" customWidth="1"/>
    <col min="9" max="9" width="0" style="0" hidden="1" customWidth="1"/>
    <col min="10" max="11" width="0" style="46" hidden="1" customWidth="1"/>
    <col min="12" max="12" width="0" style="0" hidden="1" customWidth="1"/>
  </cols>
  <sheetData>
    <row r="1" spans="2:6" ht="12.75">
      <c r="B1" t="s">
        <v>103</v>
      </c>
      <c r="F1" t="s">
        <v>104</v>
      </c>
    </row>
    <row r="2" spans="2:60" s="43" customFormat="1" ht="63.75">
      <c r="B2" s="44" t="s">
        <v>37</v>
      </c>
      <c r="C2" s="44" t="s">
        <v>102</v>
      </c>
      <c r="G2" s="47" t="s">
        <v>105</v>
      </c>
      <c r="H2" s="47" t="s">
        <v>113</v>
      </c>
      <c r="J2" s="47" t="s">
        <v>106</v>
      </c>
      <c r="K2" s="47" t="s">
        <v>107</v>
      </c>
      <c r="N2" s="43" t="s">
        <v>114</v>
      </c>
      <c r="O2" s="43" t="s">
        <v>115</v>
      </c>
      <c r="P2" s="43" t="s">
        <v>117</v>
      </c>
      <c r="Q2" s="43" t="s">
        <v>119</v>
      </c>
      <c r="R2" s="43" t="s">
        <v>122</v>
      </c>
      <c r="S2" s="43" t="s">
        <v>123</v>
      </c>
      <c r="T2" s="43" t="s">
        <v>125</v>
      </c>
      <c r="U2" s="43" t="s">
        <v>128</v>
      </c>
      <c r="V2" s="43" t="s">
        <v>132</v>
      </c>
      <c r="X2" s="43" t="s">
        <v>116</v>
      </c>
      <c r="Z2" s="43" t="s">
        <v>108</v>
      </c>
      <c r="AD2" s="43" t="s">
        <v>109</v>
      </c>
      <c r="AE2" s="43" t="s">
        <v>110</v>
      </c>
      <c r="AF2" s="43" t="s">
        <v>118</v>
      </c>
      <c r="AG2" s="43" t="s">
        <v>120</v>
      </c>
      <c r="AH2" s="43" t="s">
        <v>121</v>
      </c>
      <c r="AI2" s="43" t="s">
        <v>124</v>
      </c>
      <c r="AJ2" s="43" t="s">
        <v>126</v>
      </c>
      <c r="AK2" s="43" t="s">
        <v>129</v>
      </c>
      <c r="AL2" s="43" t="s">
        <v>134</v>
      </c>
      <c r="AN2" s="43" t="s">
        <v>111</v>
      </c>
      <c r="AP2" s="43" t="s">
        <v>112</v>
      </c>
      <c r="AT2" s="43" t="s">
        <v>146</v>
      </c>
      <c r="AU2" s="43" t="s">
        <v>145</v>
      </c>
      <c r="AV2" s="43" t="s">
        <v>144</v>
      </c>
      <c r="AW2" s="43" t="s">
        <v>147</v>
      </c>
      <c r="AX2" s="43" t="s">
        <v>135</v>
      </c>
      <c r="AY2" s="43" t="s">
        <v>136</v>
      </c>
      <c r="AZ2" s="43" t="s">
        <v>137</v>
      </c>
      <c r="BA2" s="43" t="s">
        <v>138</v>
      </c>
      <c r="BB2" s="43" t="s">
        <v>139</v>
      </c>
      <c r="BC2" s="43" t="s">
        <v>140</v>
      </c>
      <c r="BD2" s="43" t="s">
        <v>141</v>
      </c>
      <c r="BE2" s="43" t="s">
        <v>142</v>
      </c>
      <c r="BF2" s="43" t="s">
        <v>143</v>
      </c>
      <c r="BH2" s="43" t="s">
        <v>148</v>
      </c>
    </row>
    <row r="3" spans="1:70" ht="12.75">
      <c r="A3" s="6" t="s">
        <v>41</v>
      </c>
      <c r="B3" s="36">
        <v>33989</v>
      </c>
      <c r="C3" s="36">
        <v>3867</v>
      </c>
      <c r="D3" s="45"/>
      <c r="E3" s="45"/>
      <c r="F3" t="s">
        <v>41</v>
      </c>
      <c r="G3" s="46">
        <v>28269</v>
      </c>
      <c r="H3" s="46">
        <v>3508</v>
      </c>
      <c r="J3" s="46">
        <v>62258</v>
      </c>
      <c r="K3" s="46">
        <v>7375</v>
      </c>
      <c r="M3" t="s">
        <v>41</v>
      </c>
      <c r="N3">
        <v>4161</v>
      </c>
      <c r="O3">
        <v>8853</v>
      </c>
      <c r="P3">
        <v>8482</v>
      </c>
      <c r="Q3">
        <v>8943</v>
      </c>
      <c r="R3">
        <v>9695</v>
      </c>
      <c r="S3">
        <v>9252</v>
      </c>
      <c r="T3">
        <v>9395</v>
      </c>
      <c r="U3">
        <v>10267</v>
      </c>
      <c r="V3">
        <v>10529</v>
      </c>
      <c r="X3" s="43">
        <f aca="true" t="shared" si="0" ref="X3:X34">SUM(N3:W3)</f>
        <v>79577</v>
      </c>
      <c r="Z3">
        <f aca="true" t="shared" si="1" ref="Z3:Z34">B3+X3</f>
        <v>113566</v>
      </c>
      <c r="AC3" t="s">
        <v>41</v>
      </c>
      <c r="AD3">
        <v>988</v>
      </c>
      <c r="AE3">
        <v>2662</v>
      </c>
      <c r="AF3">
        <v>2432</v>
      </c>
      <c r="AG3">
        <v>2725</v>
      </c>
      <c r="AH3">
        <v>2901</v>
      </c>
      <c r="AI3">
        <v>2825</v>
      </c>
      <c r="AJ3" s="43">
        <v>2897</v>
      </c>
      <c r="AK3" s="43">
        <v>3284</v>
      </c>
      <c r="AL3" s="43">
        <v>2913</v>
      </c>
      <c r="AM3" s="43"/>
      <c r="AN3">
        <f>SUM(AD3:AM3)</f>
        <v>23627</v>
      </c>
      <c r="AP3">
        <f aca="true" t="shared" si="2" ref="AP3:AP58">C3+AN3</f>
        <v>27494</v>
      </c>
      <c r="AS3" s="8" t="s">
        <v>41</v>
      </c>
      <c r="AT3" s="31">
        <v>3151</v>
      </c>
      <c r="AU3" s="31">
        <v>2490</v>
      </c>
      <c r="AV3" s="31">
        <v>3348</v>
      </c>
      <c r="AW3" s="31">
        <v>1197</v>
      </c>
      <c r="AX3">
        <v>770</v>
      </c>
      <c r="AY3" s="31">
        <v>2266</v>
      </c>
      <c r="AZ3" s="31">
        <v>2002</v>
      </c>
      <c r="BA3" s="31">
        <v>2090</v>
      </c>
      <c r="BB3" s="31">
        <v>2393</v>
      </c>
      <c r="BC3" s="31">
        <v>2204</v>
      </c>
      <c r="BD3" s="31">
        <v>2319</v>
      </c>
      <c r="BE3" s="31">
        <v>2489</v>
      </c>
      <c r="BF3" s="31">
        <v>2365</v>
      </c>
      <c r="BH3">
        <f>SUM(AT3:BG3)</f>
        <v>29084</v>
      </c>
      <c r="BK3" s="8" t="s">
        <v>41</v>
      </c>
      <c r="BL3" s="31">
        <v>35</v>
      </c>
      <c r="BM3" s="31">
        <v>19</v>
      </c>
      <c r="BN3" s="31">
        <v>22</v>
      </c>
      <c r="BO3" s="31">
        <v>12</v>
      </c>
      <c r="BP3" s="31">
        <v>112</v>
      </c>
      <c r="BR3">
        <f>SUM(BL3:BQ3)</f>
        <v>200</v>
      </c>
    </row>
    <row r="4" spans="1:70" ht="12.75">
      <c r="A4" s="6" t="s">
        <v>43</v>
      </c>
      <c r="B4" s="36">
        <v>76503</v>
      </c>
      <c r="C4" s="36">
        <v>5373</v>
      </c>
      <c r="D4" s="45"/>
      <c r="E4" s="45"/>
      <c r="F4" t="s">
        <v>43</v>
      </c>
      <c r="G4" s="46">
        <v>61280</v>
      </c>
      <c r="H4" s="46">
        <v>9202</v>
      </c>
      <c r="J4" s="46">
        <v>137783</v>
      </c>
      <c r="K4" s="46">
        <v>14575</v>
      </c>
      <c r="M4" t="s">
        <v>43</v>
      </c>
      <c r="N4">
        <v>9746</v>
      </c>
      <c r="O4">
        <v>19587</v>
      </c>
      <c r="P4">
        <v>23940</v>
      </c>
      <c r="Q4">
        <v>22032</v>
      </c>
      <c r="R4">
        <v>24102</v>
      </c>
      <c r="S4">
        <v>20186</v>
      </c>
      <c r="T4">
        <v>20066</v>
      </c>
      <c r="U4">
        <v>19893</v>
      </c>
      <c r="V4">
        <v>18101</v>
      </c>
      <c r="X4" s="43">
        <f t="shared" si="0"/>
        <v>177653</v>
      </c>
      <c r="Z4">
        <f t="shared" si="1"/>
        <v>254156</v>
      </c>
      <c r="AC4" t="s">
        <v>43</v>
      </c>
      <c r="AD4">
        <v>3058</v>
      </c>
      <c r="AE4">
        <v>6755</v>
      </c>
      <c r="AF4">
        <v>7071</v>
      </c>
      <c r="AG4">
        <v>7125</v>
      </c>
      <c r="AH4">
        <v>8662</v>
      </c>
      <c r="AI4">
        <v>7215</v>
      </c>
      <c r="AJ4" s="43">
        <v>7080</v>
      </c>
      <c r="AK4" s="43">
        <v>7342</v>
      </c>
      <c r="AL4" s="43">
        <v>6639</v>
      </c>
      <c r="AM4" s="43"/>
      <c r="AN4">
        <f aca="true" t="shared" si="3" ref="AN4:AN57">SUM(AD4:AM4)</f>
        <v>60947</v>
      </c>
      <c r="AP4">
        <f t="shared" si="2"/>
        <v>66320</v>
      </c>
      <c r="AS4" s="2" t="s">
        <v>43</v>
      </c>
      <c r="AT4" s="36">
        <v>7031</v>
      </c>
      <c r="AU4" s="36">
        <v>6037</v>
      </c>
      <c r="AV4" s="36">
        <v>7256</v>
      </c>
      <c r="AW4" s="36">
        <v>3318</v>
      </c>
      <c r="AX4">
        <v>2325</v>
      </c>
      <c r="AY4" s="36">
        <v>5504</v>
      </c>
      <c r="AZ4" s="36">
        <v>5681</v>
      </c>
      <c r="BA4" s="36">
        <v>5460</v>
      </c>
      <c r="BB4" s="36">
        <v>6991</v>
      </c>
      <c r="BC4" s="36">
        <v>5649</v>
      </c>
      <c r="BD4" s="36">
        <v>5428</v>
      </c>
      <c r="BE4" s="36">
        <v>5272</v>
      </c>
      <c r="BF4" s="36">
        <v>5156</v>
      </c>
      <c r="BH4">
        <f aca="true" t="shared" si="4" ref="BH4:BH62">SUM(AT4:BG4)</f>
        <v>71108</v>
      </c>
      <c r="BK4" s="2" t="s">
        <v>43</v>
      </c>
      <c r="BL4" s="32">
        <v>103</v>
      </c>
      <c r="BM4" s="32">
        <v>91</v>
      </c>
      <c r="BN4" s="32">
        <v>114</v>
      </c>
      <c r="BO4" s="32">
        <v>41</v>
      </c>
      <c r="BP4" s="32">
        <v>409</v>
      </c>
      <c r="BR4">
        <f aca="true" t="shared" si="5" ref="BR4:BR61">SUM(BL4:BQ4)</f>
        <v>758</v>
      </c>
    </row>
    <row r="5" spans="1:70" ht="12.75">
      <c r="A5" s="6" t="s">
        <v>45</v>
      </c>
      <c r="B5" s="36">
        <v>13703</v>
      </c>
      <c r="C5" s="36">
        <v>956</v>
      </c>
      <c r="D5" s="45"/>
      <c r="E5" s="45"/>
      <c r="F5" t="s">
        <v>45</v>
      </c>
      <c r="G5" s="46">
        <v>12771</v>
      </c>
      <c r="H5" s="46">
        <v>1594</v>
      </c>
      <c r="J5" s="46">
        <v>26474</v>
      </c>
      <c r="K5" s="46">
        <v>2550</v>
      </c>
      <c r="M5" t="s">
        <v>45</v>
      </c>
      <c r="N5">
        <v>1647</v>
      </c>
      <c r="O5">
        <v>3421</v>
      </c>
      <c r="P5">
        <v>4311</v>
      </c>
      <c r="Q5">
        <v>4109</v>
      </c>
      <c r="R5">
        <v>4130</v>
      </c>
      <c r="S5">
        <v>3224</v>
      </c>
      <c r="T5">
        <v>3482</v>
      </c>
      <c r="U5">
        <v>3122</v>
      </c>
      <c r="V5">
        <v>3142</v>
      </c>
      <c r="X5" s="43">
        <f t="shared" si="0"/>
        <v>30588</v>
      </c>
      <c r="Z5">
        <f t="shared" si="1"/>
        <v>44291</v>
      </c>
      <c r="AC5" t="s">
        <v>45</v>
      </c>
      <c r="AD5">
        <v>544</v>
      </c>
      <c r="AE5">
        <v>1043</v>
      </c>
      <c r="AF5">
        <v>1091</v>
      </c>
      <c r="AG5">
        <v>1118</v>
      </c>
      <c r="AH5">
        <v>1325</v>
      </c>
      <c r="AI5">
        <v>1293</v>
      </c>
      <c r="AJ5" s="43">
        <v>1107</v>
      </c>
      <c r="AK5" s="43">
        <v>1083</v>
      </c>
      <c r="AL5" s="43">
        <v>1101</v>
      </c>
      <c r="AM5" s="43"/>
      <c r="AN5">
        <f t="shared" si="3"/>
        <v>9705</v>
      </c>
      <c r="AP5">
        <f t="shared" si="2"/>
        <v>10661</v>
      </c>
      <c r="AS5" s="2" t="s">
        <v>45</v>
      </c>
      <c r="AT5" s="36">
        <v>1271</v>
      </c>
      <c r="AU5" s="36">
        <v>1280</v>
      </c>
      <c r="AV5" s="36">
        <v>1413</v>
      </c>
      <c r="AW5" s="36">
        <v>614</v>
      </c>
      <c r="AX5">
        <v>472</v>
      </c>
      <c r="AY5" s="36">
        <v>891</v>
      </c>
      <c r="AZ5" s="36">
        <v>898</v>
      </c>
      <c r="BA5" s="36">
        <v>909</v>
      </c>
      <c r="BB5" s="36">
        <v>1040</v>
      </c>
      <c r="BC5" s="36">
        <v>977</v>
      </c>
      <c r="BD5" s="36">
        <v>872</v>
      </c>
      <c r="BE5" s="36">
        <v>803</v>
      </c>
      <c r="BF5" s="36">
        <v>856</v>
      </c>
      <c r="BH5">
        <f t="shared" si="4"/>
        <v>12296</v>
      </c>
      <c r="BK5" s="2" t="s">
        <v>45</v>
      </c>
      <c r="BL5" s="32">
        <v>15</v>
      </c>
      <c r="BM5" s="32">
        <v>9</v>
      </c>
      <c r="BN5" s="32">
        <v>9</v>
      </c>
      <c r="BO5" s="32">
        <v>5</v>
      </c>
      <c r="BP5" s="32">
        <v>55</v>
      </c>
      <c r="BR5">
        <f t="shared" si="5"/>
        <v>93</v>
      </c>
    </row>
    <row r="6" spans="1:70" ht="12.75">
      <c r="A6" s="6" t="s">
        <v>47</v>
      </c>
      <c r="B6" s="36">
        <v>24048</v>
      </c>
      <c r="C6" s="36">
        <v>1343</v>
      </c>
      <c r="D6" s="45"/>
      <c r="E6" s="45"/>
      <c r="F6" t="s">
        <v>47</v>
      </c>
      <c r="G6" s="46">
        <v>23625</v>
      </c>
      <c r="H6" s="46">
        <v>2715</v>
      </c>
      <c r="J6" s="46">
        <v>47673</v>
      </c>
      <c r="K6" s="46">
        <v>4058</v>
      </c>
      <c r="M6" t="s">
        <v>47</v>
      </c>
      <c r="N6">
        <v>3328</v>
      </c>
      <c r="O6">
        <v>6365</v>
      </c>
      <c r="P6">
        <v>9156</v>
      </c>
      <c r="Q6">
        <v>8881</v>
      </c>
      <c r="R6">
        <v>7853</v>
      </c>
      <c r="S6">
        <v>6841</v>
      </c>
      <c r="T6">
        <v>6308</v>
      </c>
      <c r="U6">
        <v>6523</v>
      </c>
      <c r="V6">
        <v>5953</v>
      </c>
      <c r="X6" s="43">
        <f t="shared" si="0"/>
        <v>61208</v>
      </c>
      <c r="Z6">
        <f t="shared" si="1"/>
        <v>85256</v>
      </c>
      <c r="AC6" t="s">
        <v>47</v>
      </c>
      <c r="AD6">
        <v>883</v>
      </c>
      <c r="AE6">
        <v>2168</v>
      </c>
      <c r="AF6">
        <v>2297</v>
      </c>
      <c r="AG6">
        <v>2359</v>
      </c>
      <c r="AH6">
        <v>2536</v>
      </c>
      <c r="AI6">
        <v>2625</v>
      </c>
      <c r="AJ6" s="43">
        <v>2187</v>
      </c>
      <c r="AK6" s="43">
        <v>2562</v>
      </c>
      <c r="AL6" s="43">
        <v>2214</v>
      </c>
      <c r="AM6" s="43"/>
      <c r="AN6">
        <f t="shared" si="3"/>
        <v>19831</v>
      </c>
      <c r="AP6">
        <f t="shared" si="2"/>
        <v>21174</v>
      </c>
      <c r="AS6" s="8" t="s">
        <v>47</v>
      </c>
      <c r="AT6" s="31">
        <v>2197</v>
      </c>
      <c r="AU6" s="31">
        <v>1971</v>
      </c>
      <c r="AV6" s="31">
        <v>2196</v>
      </c>
      <c r="AW6" s="31">
        <v>991</v>
      </c>
      <c r="AX6">
        <v>650</v>
      </c>
      <c r="AY6" s="31">
        <v>1647</v>
      </c>
      <c r="AZ6" s="31">
        <v>1709</v>
      </c>
      <c r="BA6" s="31">
        <v>1840</v>
      </c>
      <c r="BB6" s="31">
        <v>2059</v>
      </c>
      <c r="BC6" s="31">
        <v>2026</v>
      </c>
      <c r="BD6" s="31">
        <v>1586</v>
      </c>
      <c r="BE6" s="31">
        <v>1853</v>
      </c>
      <c r="BF6" s="31">
        <v>1661</v>
      </c>
      <c r="BH6">
        <f t="shared" si="4"/>
        <v>22386</v>
      </c>
      <c r="BK6" s="8" t="s">
        <v>47</v>
      </c>
      <c r="BL6" s="31">
        <v>28</v>
      </c>
      <c r="BM6" s="31">
        <v>32</v>
      </c>
      <c r="BN6" s="31">
        <v>17</v>
      </c>
      <c r="BO6" s="31">
        <v>17</v>
      </c>
      <c r="BP6" s="31">
        <v>145</v>
      </c>
      <c r="BR6">
        <f t="shared" si="5"/>
        <v>239</v>
      </c>
    </row>
    <row r="7" spans="1:70" ht="12.75">
      <c r="A7" s="6" t="s">
        <v>98</v>
      </c>
      <c r="B7" s="36">
        <v>24975</v>
      </c>
      <c r="C7" s="36">
        <v>2192</v>
      </c>
      <c r="D7" s="45"/>
      <c r="E7" s="45"/>
      <c r="F7" t="s">
        <v>98</v>
      </c>
      <c r="G7" s="46">
        <v>25776</v>
      </c>
      <c r="H7" s="46">
        <v>1908</v>
      </c>
      <c r="J7" s="46">
        <v>50751</v>
      </c>
      <c r="K7" s="46">
        <v>4100</v>
      </c>
      <c r="M7" t="s">
        <v>98</v>
      </c>
      <c r="N7">
        <v>3306</v>
      </c>
      <c r="O7">
        <v>5907</v>
      </c>
      <c r="P7">
        <v>6777</v>
      </c>
      <c r="Q7">
        <v>6639</v>
      </c>
      <c r="R7">
        <v>7369</v>
      </c>
      <c r="S7">
        <v>6426</v>
      </c>
      <c r="T7">
        <v>6645</v>
      </c>
      <c r="U7">
        <v>6824</v>
      </c>
      <c r="V7">
        <v>6460</v>
      </c>
      <c r="X7" s="43">
        <f t="shared" si="0"/>
        <v>56353</v>
      </c>
      <c r="Z7">
        <f t="shared" si="1"/>
        <v>81328</v>
      </c>
      <c r="AC7" t="s">
        <v>98</v>
      </c>
      <c r="AD7">
        <v>588</v>
      </c>
      <c r="AE7">
        <v>1443</v>
      </c>
      <c r="AF7">
        <v>1445</v>
      </c>
      <c r="AG7">
        <v>1282</v>
      </c>
      <c r="AH7">
        <v>1599</v>
      </c>
      <c r="AI7">
        <v>1561</v>
      </c>
      <c r="AJ7" s="43">
        <v>1644</v>
      </c>
      <c r="AK7" s="43">
        <v>1760</v>
      </c>
      <c r="AL7" s="43">
        <v>1527</v>
      </c>
      <c r="AM7" s="43"/>
      <c r="AN7">
        <f t="shared" si="3"/>
        <v>12849</v>
      </c>
      <c r="AP7">
        <f t="shared" si="2"/>
        <v>15041</v>
      </c>
      <c r="AS7" s="6" t="s">
        <v>98</v>
      </c>
      <c r="AT7" s="36">
        <v>1602</v>
      </c>
      <c r="AU7" s="36">
        <v>1481</v>
      </c>
      <c r="AV7" s="36">
        <v>1726</v>
      </c>
      <c r="AW7" s="36">
        <v>624</v>
      </c>
      <c r="AX7">
        <v>497</v>
      </c>
      <c r="AY7" s="36">
        <v>1159</v>
      </c>
      <c r="AZ7" s="36">
        <v>1163</v>
      </c>
      <c r="BA7" s="36">
        <v>913</v>
      </c>
      <c r="BB7" s="36">
        <v>1401</v>
      </c>
      <c r="BC7" s="36">
        <v>1173</v>
      </c>
      <c r="BD7" s="36">
        <v>1241</v>
      </c>
      <c r="BE7" s="36">
        <v>1299</v>
      </c>
      <c r="BF7" s="36">
        <v>1290</v>
      </c>
      <c r="BH7">
        <f t="shared" si="4"/>
        <v>15569</v>
      </c>
      <c r="BK7" s="6" t="s">
        <v>98</v>
      </c>
      <c r="BL7" s="36">
        <v>30</v>
      </c>
      <c r="BM7" s="36">
        <v>14</v>
      </c>
      <c r="BN7" s="36">
        <v>20</v>
      </c>
      <c r="BO7" s="36">
        <v>9</v>
      </c>
      <c r="BP7" s="36">
        <v>106</v>
      </c>
      <c r="BR7">
        <f t="shared" si="5"/>
        <v>179</v>
      </c>
    </row>
    <row r="8" spans="1:70" ht="12.75">
      <c r="A8" s="6" t="s">
        <v>49</v>
      </c>
      <c r="B8" s="36">
        <v>20381</v>
      </c>
      <c r="C8" s="36">
        <v>1803</v>
      </c>
      <c r="D8" s="45"/>
      <c r="E8" s="45"/>
      <c r="F8" t="s">
        <v>49</v>
      </c>
      <c r="G8" s="46">
        <v>17582</v>
      </c>
      <c r="H8" s="46">
        <v>2627</v>
      </c>
      <c r="J8" s="46">
        <v>37963</v>
      </c>
      <c r="K8" s="46">
        <v>4430</v>
      </c>
      <c r="M8" t="s">
        <v>49</v>
      </c>
      <c r="N8">
        <v>2640</v>
      </c>
      <c r="O8">
        <v>5455</v>
      </c>
      <c r="P8">
        <v>6047</v>
      </c>
      <c r="Q8">
        <v>6298</v>
      </c>
      <c r="R8">
        <v>5757</v>
      </c>
      <c r="S8">
        <v>5291</v>
      </c>
      <c r="T8">
        <v>5606</v>
      </c>
      <c r="U8">
        <v>5185</v>
      </c>
      <c r="V8">
        <v>4721</v>
      </c>
      <c r="X8" s="43">
        <f t="shared" si="0"/>
        <v>47000</v>
      </c>
      <c r="Z8">
        <f t="shared" si="1"/>
        <v>67381</v>
      </c>
      <c r="AC8" t="s">
        <v>49</v>
      </c>
      <c r="AD8">
        <v>892</v>
      </c>
      <c r="AE8">
        <v>1900</v>
      </c>
      <c r="AF8">
        <v>1776</v>
      </c>
      <c r="AG8">
        <v>2082</v>
      </c>
      <c r="AH8">
        <v>2151</v>
      </c>
      <c r="AI8">
        <v>2223</v>
      </c>
      <c r="AJ8" s="43">
        <v>2371</v>
      </c>
      <c r="AK8" s="43">
        <v>2216</v>
      </c>
      <c r="AL8" s="43">
        <v>1857</v>
      </c>
      <c r="AM8" s="43"/>
      <c r="AN8">
        <f t="shared" si="3"/>
        <v>17468</v>
      </c>
      <c r="AP8">
        <f t="shared" si="2"/>
        <v>19271</v>
      </c>
      <c r="AS8" s="2" t="s">
        <v>49</v>
      </c>
      <c r="AT8" s="36">
        <v>1958</v>
      </c>
      <c r="AU8" s="36">
        <v>1728</v>
      </c>
      <c r="AV8" s="36">
        <v>2039</v>
      </c>
      <c r="AW8" s="36">
        <v>874</v>
      </c>
      <c r="AX8">
        <v>721</v>
      </c>
      <c r="AY8" s="36">
        <v>1552</v>
      </c>
      <c r="AZ8" s="36">
        <v>1400</v>
      </c>
      <c r="BA8" s="36">
        <v>1483</v>
      </c>
      <c r="BB8" s="36">
        <v>1771</v>
      </c>
      <c r="BC8" s="36">
        <v>1645</v>
      </c>
      <c r="BD8" s="36">
        <v>1753</v>
      </c>
      <c r="BE8" s="36">
        <v>1510</v>
      </c>
      <c r="BF8" s="36">
        <v>1402</v>
      </c>
      <c r="BH8">
        <f t="shared" si="4"/>
        <v>19836</v>
      </c>
      <c r="BK8" s="2" t="s">
        <v>49</v>
      </c>
      <c r="BL8" s="32">
        <v>39</v>
      </c>
      <c r="BM8" s="32">
        <v>27</v>
      </c>
      <c r="BN8" s="32">
        <v>43</v>
      </c>
      <c r="BO8" s="32">
        <v>27</v>
      </c>
      <c r="BP8" s="32">
        <v>95</v>
      </c>
      <c r="BR8">
        <f t="shared" si="5"/>
        <v>231</v>
      </c>
    </row>
    <row r="9" spans="1:70" ht="12.75">
      <c r="A9" s="6" t="s">
        <v>127</v>
      </c>
      <c r="B9" s="36"/>
      <c r="C9" s="36"/>
      <c r="D9" s="45"/>
      <c r="E9" s="45"/>
      <c r="M9" t="s">
        <v>127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1148</v>
      </c>
      <c r="V9">
        <v>14903</v>
      </c>
      <c r="X9" s="43">
        <f t="shared" si="0"/>
        <v>16051</v>
      </c>
      <c r="Z9">
        <f t="shared" si="1"/>
        <v>16051</v>
      </c>
      <c r="AJ9" s="43"/>
      <c r="AK9" s="43">
        <v>3450</v>
      </c>
      <c r="AL9" s="43">
        <v>12074</v>
      </c>
      <c r="AM9" s="43"/>
      <c r="AN9">
        <f t="shared" si="3"/>
        <v>15524</v>
      </c>
      <c r="AP9">
        <f t="shared" si="2"/>
        <v>15524</v>
      </c>
      <c r="AS9" s="8" t="s">
        <v>51</v>
      </c>
      <c r="AT9" s="31">
        <v>799</v>
      </c>
      <c r="AU9" s="31">
        <v>612</v>
      </c>
      <c r="AV9" s="31">
        <v>928</v>
      </c>
      <c r="AW9" s="31">
        <v>338</v>
      </c>
      <c r="AX9">
        <v>253</v>
      </c>
      <c r="AY9" s="31">
        <v>667</v>
      </c>
      <c r="AZ9" s="31">
        <v>450</v>
      </c>
      <c r="BA9" s="31">
        <v>507</v>
      </c>
      <c r="BB9" s="31">
        <v>805</v>
      </c>
      <c r="BC9" s="31">
        <v>610</v>
      </c>
      <c r="BD9" s="31">
        <v>586</v>
      </c>
      <c r="BE9" s="31">
        <v>575</v>
      </c>
      <c r="BF9" s="31">
        <v>575</v>
      </c>
      <c r="BH9">
        <f t="shared" si="4"/>
        <v>7705</v>
      </c>
      <c r="BK9" s="8" t="s">
        <v>51</v>
      </c>
      <c r="BL9" s="31">
        <v>15</v>
      </c>
      <c r="BM9" s="31">
        <v>12</v>
      </c>
      <c r="BN9" s="31">
        <v>1</v>
      </c>
      <c r="BO9" s="31">
        <v>8</v>
      </c>
      <c r="BP9" s="31">
        <v>59</v>
      </c>
      <c r="BR9">
        <f t="shared" si="5"/>
        <v>95</v>
      </c>
    </row>
    <row r="10" spans="1:70" ht="12.75">
      <c r="A10" s="6" t="s">
        <v>51</v>
      </c>
      <c r="B10" s="36">
        <v>9444</v>
      </c>
      <c r="C10" s="36">
        <v>1236</v>
      </c>
      <c r="D10" s="45"/>
      <c r="E10" s="45"/>
      <c r="F10" t="s">
        <v>51</v>
      </c>
      <c r="G10" s="46">
        <v>6945</v>
      </c>
      <c r="H10" s="46">
        <v>1011</v>
      </c>
      <c r="J10" s="46">
        <v>16389</v>
      </c>
      <c r="K10" s="46">
        <v>2247</v>
      </c>
      <c r="M10" t="s">
        <v>51</v>
      </c>
      <c r="N10">
        <v>1152</v>
      </c>
      <c r="O10">
        <v>2409</v>
      </c>
      <c r="P10">
        <v>2745</v>
      </c>
      <c r="Q10">
        <v>2802</v>
      </c>
      <c r="R10">
        <v>2693</v>
      </c>
      <c r="S10">
        <v>2146</v>
      </c>
      <c r="T10">
        <v>2284</v>
      </c>
      <c r="U10">
        <v>2043</v>
      </c>
      <c r="V10">
        <v>1984</v>
      </c>
      <c r="X10" s="43">
        <f t="shared" si="0"/>
        <v>20258</v>
      </c>
      <c r="Z10">
        <f t="shared" si="1"/>
        <v>29702</v>
      </c>
      <c r="AC10" t="s">
        <v>51</v>
      </c>
      <c r="AD10">
        <v>327</v>
      </c>
      <c r="AE10">
        <v>793</v>
      </c>
      <c r="AF10">
        <v>552</v>
      </c>
      <c r="AG10">
        <v>783</v>
      </c>
      <c r="AH10">
        <v>906</v>
      </c>
      <c r="AI10">
        <v>773</v>
      </c>
      <c r="AJ10" s="43">
        <v>828</v>
      </c>
      <c r="AK10" s="43">
        <v>827</v>
      </c>
      <c r="AL10" s="43">
        <v>779</v>
      </c>
      <c r="AM10" s="43"/>
      <c r="AN10">
        <f t="shared" si="3"/>
        <v>6568</v>
      </c>
      <c r="AP10">
        <f t="shared" si="2"/>
        <v>7804</v>
      </c>
      <c r="AS10" s="6" t="s">
        <v>53</v>
      </c>
      <c r="AT10" s="36">
        <v>2855</v>
      </c>
      <c r="AU10" s="36">
        <v>2380</v>
      </c>
      <c r="AV10" s="36">
        <v>2825</v>
      </c>
      <c r="AW10" s="36">
        <v>1159</v>
      </c>
      <c r="AX10">
        <v>939</v>
      </c>
      <c r="AY10" s="36">
        <v>1994</v>
      </c>
      <c r="AZ10" s="36">
        <v>2040</v>
      </c>
      <c r="BA10" s="36">
        <v>1960</v>
      </c>
      <c r="BB10" s="36">
        <v>2685</v>
      </c>
      <c r="BC10" s="36">
        <v>2523</v>
      </c>
      <c r="BD10" s="36">
        <v>2483</v>
      </c>
      <c r="BE10" s="36">
        <v>2434</v>
      </c>
      <c r="BF10" s="36">
        <v>2121</v>
      </c>
      <c r="BH10">
        <f t="shared" si="4"/>
        <v>28398</v>
      </c>
      <c r="BK10" s="6" t="s">
        <v>53</v>
      </c>
      <c r="BL10" s="36">
        <v>54</v>
      </c>
      <c r="BM10" s="36">
        <v>34</v>
      </c>
      <c r="BN10" s="36">
        <v>31</v>
      </c>
      <c r="BO10" s="36">
        <v>14</v>
      </c>
      <c r="BP10" s="36">
        <v>123</v>
      </c>
      <c r="BR10">
        <f t="shared" si="5"/>
        <v>256</v>
      </c>
    </row>
    <row r="11" spans="1:70" ht="12.75">
      <c r="A11" s="6" t="s">
        <v>53</v>
      </c>
      <c r="B11" s="36">
        <v>35140</v>
      </c>
      <c r="C11" s="36">
        <v>2418</v>
      </c>
      <c r="D11" s="45"/>
      <c r="E11" s="45"/>
      <c r="F11" t="s">
        <v>53</v>
      </c>
      <c r="G11" s="46">
        <v>31771</v>
      </c>
      <c r="H11" s="46">
        <v>3422</v>
      </c>
      <c r="J11" s="46">
        <v>66911</v>
      </c>
      <c r="K11" s="46">
        <v>5840</v>
      </c>
      <c r="M11" t="s">
        <v>53</v>
      </c>
      <c r="N11">
        <v>4563</v>
      </c>
      <c r="O11">
        <v>8741</v>
      </c>
      <c r="P11">
        <v>11485</v>
      </c>
      <c r="Q11">
        <v>10783</v>
      </c>
      <c r="R11">
        <v>10246</v>
      </c>
      <c r="S11">
        <v>9444</v>
      </c>
      <c r="T11">
        <v>9711</v>
      </c>
      <c r="U11">
        <v>9143</v>
      </c>
      <c r="V11">
        <v>7351</v>
      </c>
      <c r="X11" s="43">
        <f t="shared" si="0"/>
        <v>81467</v>
      </c>
      <c r="Z11">
        <f t="shared" si="1"/>
        <v>116607</v>
      </c>
      <c r="AC11" t="s">
        <v>53</v>
      </c>
      <c r="AD11">
        <v>1218</v>
      </c>
      <c r="AE11">
        <v>2424</v>
      </c>
      <c r="AF11">
        <v>2462</v>
      </c>
      <c r="AG11">
        <v>2431</v>
      </c>
      <c r="AH11">
        <v>3230</v>
      </c>
      <c r="AI11">
        <v>3134</v>
      </c>
      <c r="AJ11" s="43">
        <v>3311</v>
      </c>
      <c r="AK11" s="43">
        <v>3236</v>
      </c>
      <c r="AL11" s="43">
        <v>2660</v>
      </c>
      <c r="AM11" s="43"/>
      <c r="AN11">
        <f t="shared" si="3"/>
        <v>24106</v>
      </c>
      <c r="AP11">
        <f t="shared" si="2"/>
        <v>26524</v>
      </c>
      <c r="AS11" s="2" t="s">
        <v>55</v>
      </c>
      <c r="AT11" s="36">
        <v>2081</v>
      </c>
      <c r="AU11" s="36">
        <v>1634</v>
      </c>
      <c r="AV11" s="36">
        <v>1939</v>
      </c>
      <c r="AW11" s="36">
        <v>908</v>
      </c>
      <c r="AX11">
        <v>626</v>
      </c>
      <c r="AY11" s="36">
        <v>1399</v>
      </c>
      <c r="AZ11" s="36">
        <v>1655</v>
      </c>
      <c r="BA11" s="36">
        <v>1709</v>
      </c>
      <c r="BB11" s="36">
        <v>1814</v>
      </c>
      <c r="BC11" s="36">
        <v>1649</v>
      </c>
      <c r="BD11" s="36">
        <v>1704</v>
      </c>
      <c r="BE11" s="36">
        <v>1756</v>
      </c>
      <c r="BF11" s="36">
        <v>1661</v>
      </c>
      <c r="BH11">
        <f t="shared" si="4"/>
        <v>20535</v>
      </c>
      <c r="BK11" s="2" t="s">
        <v>55</v>
      </c>
      <c r="BL11" s="32">
        <v>39</v>
      </c>
      <c r="BM11" s="32">
        <v>28</v>
      </c>
      <c r="BN11" s="32">
        <v>26</v>
      </c>
      <c r="BO11" s="32">
        <v>12</v>
      </c>
      <c r="BP11" s="32">
        <v>145</v>
      </c>
      <c r="BR11">
        <f t="shared" si="5"/>
        <v>250</v>
      </c>
    </row>
    <row r="12" spans="1:70" ht="12.75">
      <c r="A12" s="6" t="s">
        <v>55</v>
      </c>
      <c r="B12" s="36">
        <v>27092</v>
      </c>
      <c r="C12" s="36">
        <v>982</v>
      </c>
      <c r="D12" s="45"/>
      <c r="E12" s="45"/>
      <c r="F12" t="s">
        <v>55</v>
      </c>
      <c r="G12" s="46">
        <v>26008</v>
      </c>
      <c r="H12" s="46">
        <v>2384</v>
      </c>
      <c r="J12" s="46">
        <v>53100</v>
      </c>
      <c r="K12" s="46">
        <v>3366</v>
      </c>
      <c r="M12" t="s">
        <v>55</v>
      </c>
      <c r="N12">
        <v>3387</v>
      </c>
      <c r="O12">
        <v>6752</v>
      </c>
      <c r="P12">
        <v>9337</v>
      </c>
      <c r="Q12">
        <v>9372</v>
      </c>
      <c r="R12">
        <v>9592</v>
      </c>
      <c r="S12">
        <v>7488</v>
      </c>
      <c r="T12">
        <v>7662</v>
      </c>
      <c r="U12">
        <v>7846</v>
      </c>
      <c r="V12">
        <v>7346</v>
      </c>
      <c r="X12" s="43">
        <f t="shared" si="0"/>
        <v>68782</v>
      </c>
      <c r="Z12">
        <f t="shared" si="1"/>
        <v>95874</v>
      </c>
      <c r="AC12" t="s">
        <v>55</v>
      </c>
      <c r="AD12">
        <v>863</v>
      </c>
      <c r="AE12">
        <v>1848</v>
      </c>
      <c r="AF12">
        <v>2121</v>
      </c>
      <c r="AG12">
        <v>2239</v>
      </c>
      <c r="AH12">
        <v>2304</v>
      </c>
      <c r="AI12">
        <v>2130</v>
      </c>
      <c r="AJ12" s="43">
        <v>2277</v>
      </c>
      <c r="AK12" s="43">
        <v>2356</v>
      </c>
      <c r="AL12" s="43">
        <v>2213</v>
      </c>
      <c r="AM12" s="43"/>
      <c r="AN12">
        <f t="shared" si="3"/>
        <v>18351</v>
      </c>
      <c r="AP12">
        <f t="shared" si="2"/>
        <v>19333</v>
      </c>
      <c r="AS12" s="8" t="s">
        <v>57</v>
      </c>
      <c r="AT12" s="31">
        <v>2528</v>
      </c>
      <c r="AU12" s="31">
        <v>2320</v>
      </c>
      <c r="AV12" s="31">
        <v>2781</v>
      </c>
      <c r="AW12" s="31">
        <v>1117</v>
      </c>
      <c r="AX12">
        <v>807</v>
      </c>
      <c r="AY12" s="31">
        <v>1953</v>
      </c>
      <c r="AZ12" s="31">
        <v>2194</v>
      </c>
      <c r="BA12" s="31">
        <v>1299</v>
      </c>
      <c r="BB12" s="31">
        <v>2006</v>
      </c>
      <c r="BC12" s="31">
        <v>1293</v>
      </c>
      <c r="BD12" s="31">
        <v>1299</v>
      </c>
      <c r="BE12" s="31">
        <v>1333</v>
      </c>
      <c r="BF12" s="31">
        <v>1412</v>
      </c>
      <c r="BH12">
        <f t="shared" si="4"/>
        <v>22342</v>
      </c>
      <c r="BK12" s="8" t="s">
        <v>57</v>
      </c>
      <c r="BL12" s="31">
        <v>39</v>
      </c>
      <c r="BM12" s="31">
        <v>32</v>
      </c>
      <c r="BN12" s="31">
        <v>25</v>
      </c>
      <c r="BO12" s="31">
        <v>11</v>
      </c>
      <c r="BP12" s="31">
        <v>87</v>
      </c>
      <c r="BR12">
        <f t="shared" si="5"/>
        <v>194</v>
      </c>
    </row>
    <row r="13" spans="1:70" ht="12.75">
      <c r="A13" s="6" t="s">
        <v>57</v>
      </c>
      <c r="B13" s="36">
        <v>47871</v>
      </c>
      <c r="C13" s="36">
        <v>2052</v>
      </c>
      <c r="D13" s="45"/>
      <c r="E13" s="45"/>
      <c r="F13" t="s">
        <v>57</v>
      </c>
      <c r="G13" s="46">
        <v>43982</v>
      </c>
      <c r="H13" s="46">
        <v>3315</v>
      </c>
      <c r="J13" s="46">
        <v>91853</v>
      </c>
      <c r="K13" s="46">
        <v>5367</v>
      </c>
      <c r="M13" t="s">
        <v>57</v>
      </c>
      <c r="N13">
        <v>7445</v>
      </c>
      <c r="O13">
        <v>12986</v>
      </c>
      <c r="P13">
        <v>14920</v>
      </c>
      <c r="Q13">
        <v>11136</v>
      </c>
      <c r="R13">
        <v>12779</v>
      </c>
      <c r="S13">
        <v>10745</v>
      </c>
      <c r="T13">
        <v>10882</v>
      </c>
      <c r="U13">
        <v>12013</v>
      </c>
      <c r="V13">
        <v>10615</v>
      </c>
      <c r="X13" s="43">
        <f t="shared" si="0"/>
        <v>103521</v>
      </c>
      <c r="Z13">
        <f t="shared" si="1"/>
        <v>151392</v>
      </c>
      <c r="AC13" t="s">
        <v>57</v>
      </c>
      <c r="AD13">
        <v>1050</v>
      </c>
      <c r="AE13">
        <v>2477</v>
      </c>
      <c r="AF13">
        <v>2564</v>
      </c>
      <c r="AG13">
        <v>1770</v>
      </c>
      <c r="AH13">
        <v>2285</v>
      </c>
      <c r="AI13">
        <v>1834</v>
      </c>
      <c r="AJ13" s="43">
        <v>1731</v>
      </c>
      <c r="AK13" s="43">
        <v>2093</v>
      </c>
      <c r="AL13" s="43">
        <v>1807</v>
      </c>
      <c r="AM13" s="43"/>
      <c r="AN13">
        <f t="shared" si="3"/>
        <v>17611</v>
      </c>
      <c r="AP13">
        <f t="shared" si="2"/>
        <v>19663</v>
      </c>
      <c r="AS13" s="6" t="s">
        <v>58</v>
      </c>
      <c r="AT13" s="36">
        <v>2284</v>
      </c>
      <c r="AU13" s="36">
        <v>2172</v>
      </c>
      <c r="AV13" s="36">
        <v>2255</v>
      </c>
      <c r="AW13" s="36">
        <v>1018</v>
      </c>
      <c r="AX13">
        <v>820</v>
      </c>
      <c r="AY13" s="36">
        <v>1650</v>
      </c>
      <c r="AZ13" s="36">
        <v>2169</v>
      </c>
      <c r="BA13" s="36">
        <v>2125</v>
      </c>
      <c r="BB13" s="36">
        <v>2366</v>
      </c>
      <c r="BC13" s="36">
        <v>2050</v>
      </c>
      <c r="BD13" s="36">
        <v>1829</v>
      </c>
      <c r="BE13" s="36">
        <v>1728</v>
      </c>
      <c r="BF13" s="36">
        <v>1787</v>
      </c>
      <c r="BH13">
        <f t="shared" si="4"/>
        <v>24253</v>
      </c>
      <c r="BK13" s="6" t="s">
        <v>58</v>
      </c>
      <c r="BL13" s="36">
        <v>25</v>
      </c>
      <c r="BM13" s="36">
        <v>36</v>
      </c>
      <c r="BN13" s="36">
        <v>34</v>
      </c>
      <c r="BO13" s="36">
        <v>24</v>
      </c>
      <c r="BP13" s="36">
        <v>232</v>
      </c>
      <c r="BR13">
        <f t="shared" si="5"/>
        <v>351</v>
      </c>
    </row>
    <row r="14" spans="1:70" ht="12.75">
      <c r="A14" s="6" t="s">
        <v>58</v>
      </c>
      <c r="B14" s="36">
        <v>17868</v>
      </c>
      <c r="C14" s="36">
        <v>2041</v>
      </c>
      <c r="D14" s="45"/>
      <c r="E14" s="45"/>
      <c r="F14" t="s">
        <v>58</v>
      </c>
      <c r="G14" s="46">
        <v>14938</v>
      </c>
      <c r="H14" s="46">
        <v>2963</v>
      </c>
      <c r="J14" s="46">
        <v>32806</v>
      </c>
      <c r="K14" s="46">
        <v>5004</v>
      </c>
      <c r="M14" t="s">
        <v>58</v>
      </c>
      <c r="N14">
        <v>2106</v>
      </c>
      <c r="O14">
        <v>4568</v>
      </c>
      <c r="P14">
        <v>6430</v>
      </c>
      <c r="Q14">
        <v>6349</v>
      </c>
      <c r="R14">
        <v>5692</v>
      </c>
      <c r="S14">
        <v>4709</v>
      </c>
      <c r="T14">
        <v>4896</v>
      </c>
      <c r="U14">
        <v>4558</v>
      </c>
      <c r="V14">
        <v>4460</v>
      </c>
      <c r="X14" s="43">
        <f t="shared" si="0"/>
        <v>43768</v>
      </c>
      <c r="Z14">
        <f t="shared" si="1"/>
        <v>61636</v>
      </c>
      <c r="AC14" t="s">
        <v>58</v>
      </c>
      <c r="AD14">
        <v>1056</v>
      </c>
      <c r="AE14">
        <v>2178</v>
      </c>
      <c r="AF14">
        <v>2743</v>
      </c>
      <c r="AG14">
        <v>2767</v>
      </c>
      <c r="AH14">
        <v>2853</v>
      </c>
      <c r="AI14">
        <v>2703</v>
      </c>
      <c r="AJ14" s="43">
        <v>2558</v>
      </c>
      <c r="AK14" s="43">
        <v>2388</v>
      </c>
      <c r="AL14" s="43">
        <v>2468</v>
      </c>
      <c r="AM14" s="43"/>
      <c r="AN14">
        <f t="shared" si="3"/>
        <v>21714</v>
      </c>
      <c r="AP14">
        <f t="shared" si="2"/>
        <v>23755</v>
      </c>
      <c r="AS14" s="2" t="s">
        <v>60</v>
      </c>
      <c r="AT14" s="36">
        <v>7224</v>
      </c>
      <c r="AU14" s="36">
        <v>5761</v>
      </c>
      <c r="AV14" s="36">
        <v>7467</v>
      </c>
      <c r="AW14" s="36">
        <v>2919</v>
      </c>
      <c r="AX14">
        <v>2444</v>
      </c>
      <c r="AY14" s="36">
        <v>5192</v>
      </c>
      <c r="AZ14" s="36">
        <v>5269</v>
      </c>
      <c r="BA14" s="36">
        <v>5360</v>
      </c>
      <c r="BB14" s="36">
        <v>6013</v>
      </c>
      <c r="BC14" s="36">
        <v>5437</v>
      </c>
      <c r="BD14" s="36">
        <v>5180</v>
      </c>
      <c r="BE14" s="36">
        <v>5463</v>
      </c>
      <c r="BF14" s="36">
        <v>5283</v>
      </c>
      <c r="BH14">
        <f t="shared" si="4"/>
        <v>69012</v>
      </c>
      <c r="BK14" s="2" t="s">
        <v>60</v>
      </c>
      <c r="BL14" s="32">
        <v>118</v>
      </c>
      <c r="BM14" s="32">
        <v>96</v>
      </c>
      <c r="BN14" s="32">
        <v>151</v>
      </c>
      <c r="BO14" s="32">
        <v>51</v>
      </c>
      <c r="BP14" s="32">
        <v>510</v>
      </c>
      <c r="BR14">
        <f t="shared" si="5"/>
        <v>926</v>
      </c>
    </row>
    <row r="15" spans="1:70" ht="12.75">
      <c r="A15" s="6" t="s">
        <v>60</v>
      </c>
      <c r="B15" s="36">
        <v>116588</v>
      </c>
      <c r="C15" s="36">
        <v>5079</v>
      </c>
      <c r="D15" s="45"/>
      <c r="E15" s="45"/>
      <c r="F15" t="s">
        <v>60</v>
      </c>
      <c r="G15" s="46">
        <v>81256</v>
      </c>
      <c r="H15" s="46">
        <v>8800</v>
      </c>
      <c r="J15" s="46">
        <v>197844</v>
      </c>
      <c r="K15" s="46">
        <v>13879</v>
      </c>
      <c r="M15" t="s">
        <v>60</v>
      </c>
      <c r="N15">
        <v>12165</v>
      </c>
      <c r="O15">
        <v>28015</v>
      </c>
      <c r="P15">
        <v>36763</v>
      </c>
      <c r="Q15">
        <v>44884</v>
      </c>
      <c r="R15">
        <v>41806</v>
      </c>
      <c r="S15">
        <v>37480</v>
      </c>
      <c r="T15">
        <v>36378</v>
      </c>
      <c r="U15">
        <v>33447</v>
      </c>
      <c r="V15">
        <v>34415</v>
      </c>
      <c r="X15" s="43">
        <f t="shared" si="0"/>
        <v>305353</v>
      </c>
      <c r="Z15">
        <f t="shared" si="1"/>
        <v>421941</v>
      </c>
      <c r="AC15" t="s">
        <v>60</v>
      </c>
      <c r="AD15">
        <v>2983</v>
      </c>
      <c r="AE15">
        <v>6525</v>
      </c>
      <c r="AF15">
        <v>6690</v>
      </c>
      <c r="AG15">
        <v>6850</v>
      </c>
      <c r="AH15">
        <v>7180</v>
      </c>
      <c r="AI15">
        <v>7073</v>
      </c>
      <c r="AJ15" s="43">
        <v>7068</v>
      </c>
      <c r="AK15" s="43">
        <v>7534</v>
      </c>
      <c r="AL15" s="43">
        <v>6819</v>
      </c>
      <c r="AM15" s="43"/>
      <c r="AN15">
        <f t="shared" si="3"/>
        <v>58722</v>
      </c>
      <c r="AP15">
        <f t="shared" si="2"/>
        <v>63801</v>
      </c>
      <c r="AS15" s="8" t="s">
        <v>100</v>
      </c>
      <c r="AY15" s="31">
        <v>0</v>
      </c>
      <c r="AZ15" s="31">
        <v>29</v>
      </c>
      <c r="BA15" s="31">
        <v>3097</v>
      </c>
      <c r="BB15" s="31">
        <v>4676</v>
      </c>
      <c r="BC15" s="31">
        <v>4125</v>
      </c>
      <c r="BD15" s="31">
        <v>4127</v>
      </c>
      <c r="BE15" s="31">
        <v>4574</v>
      </c>
      <c r="BF15" s="31">
        <v>5037</v>
      </c>
      <c r="BH15">
        <f t="shared" si="4"/>
        <v>25665</v>
      </c>
      <c r="BK15" s="2" t="s">
        <v>100</v>
      </c>
      <c r="BP15" s="31">
        <v>212</v>
      </c>
      <c r="BR15">
        <f t="shared" si="5"/>
        <v>212</v>
      </c>
    </row>
    <row r="16" spans="1:70" ht="12.75">
      <c r="A16" s="6" t="s">
        <v>100</v>
      </c>
      <c r="B16" s="36">
        <v>0</v>
      </c>
      <c r="C16" s="36">
        <v>0</v>
      </c>
      <c r="D16" s="45"/>
      <c r="E16" s="45"/>
      <c r="F16" t="s">
        <v>100</v>
      </c>
      <c r="J16" s="46">
        <v>0</v>
      </c>
      <c r="K16" s="46">
        <v>0</v>
      </c>
      <c r="M16" t="s">
        <v>100</v>
      </c>
      <c r="P16">
        <v>5313</v>
      </c>
      <c r="Q16">
        <v>26800</v>
      </c>
      <c r="R16">
        <v>28903</v>
      </c>
      <c r="S16">
        <v>24028</v>
      </c>
      <c r="T16">
        <v>24399</v>
      </c>
      <c r="U16">
        <v>24235</v>
      </c>
      <c r="V16">
        <v>24743</v>
      </c>
      <c r="X16" s="43">
        <f t="shared" si="0"/>
        <v>158421</v>
      </c>
      <c r="Z16">
        <f t="shared" si="1"/>
        <v>158421</v>
      </c>
      <c r="AC16" t="s">
        <v>100</v>
      </c>
      <c r="AD16">
        <v>4</v>
      </c>
      <c r="AE16">
        <v>23</v>
      </c>
      <c r="AF16">
        <v>301</v>
      </c>
      <c r="AG16">
        <v>4915</v>
      </c>
      <c r="AH16">
        <v>6049</v>
      </c>
      <c r="AI16">
        <v>5541</v>
      </c>
      <c r="AJ16" s="43">
        <v>5871</v>
      </c>
      <c r="AK16" s="43">
        <v>6665</v>
      </c>
      <c r="AL16" s="43">
        <v>6448</v>
      </c>
      <c r="AM16" s="43"/>
      <c r="AN16">
        <f t="shared" si="3"/>
        <v>35817</v>
      </c>
      <c r="AP16">
        <f t="shared" si="2"/>
        <v>35817</v>
      </c>
      <c r="AS16" s="6" t="s">
        <v>61</v>
      </c>
      <c r="AT16" s="31">
        <v>396</v>
      </c>
      <c r="AU16" s="31">
        <v>224</v>
      </c>
      <c r="AV16" s="31">
        <v>295</v>
      </c>
      <c r="AW16" s="31">
        <v>178</v>
      </c>
      <c r="AX16">
        <v>141</v>
      </c>
      <c r="AY16" s="36">
        <v>221</v>
      </c>
      <c r="AZ16" s="36">
        <v>317</v>
      </c>
      <c r="BA16" s="36">
        <v>256</v>
      </c>
      <c r="BB16" s="36">
        <v>372</v>
      </c>
      <c r="BC16" s="36">
        <v>331</v>
      </c>
      <c r="BD16" s="36">
        <v>332</v>
      </c>
      <c r="BE16" s="36">
        <v>318</v>
      </c>
      <c r="BF16" s="36">
        <v>332</v>
      </c>
      <c r="BH16">
        <f t="shared" si="4"/>
        <v>3713</v>
      </c>
      <c r="BK16" s="8" t="s">
        <v>61</v>
      </c>
      <c r="BL16" s="31">
        <v>3</v>
      </c>
      <c r="BM16" s="31">
        <v>0</v>
      </c>
      <c r="BN16" s="31">
        <v>3</v>
      </c>
      <c r="BO16" s="31">
        <v>0</v>
      </c>
      <c r="BP16" s="36">
        <v>14</v>
      </c>
      <c r="BR16">
        <f t="shared" si="5"/>
        <v>20</v>
      </c>
    </row>
    <row r="17" spans="1:70" ht="12.75">
      <c r="A17" s="6" t="s">
        <v>44</v>
      </c>
      <c r="B17" s="36">
        <v>102619</v>
      </c>
      <c r="C17" s="36">
        <v>5874</v>
      </c>
      <c r="D17" s="45"/>
      <c r="E17" s="45"/>
      <c r="F17" t="s">
        <v>44</v>
      </c>
      <c r="G17" s="46">
        <v>74275</v>
      </c>
      <c r="H17" s="46">
        <v>12812</v>
      </c>
      <c r="J17" s="46">
        <v>176894</v>
      </c>
      <c r="K17" s="46">
        <v>18686</v>
      </c>
      <c r="M17" t="s">
        <v>44</v>
      </c>
      <c r="N17">
        <v>15083</v>
      </c>
      <c r="O17">
        <v>29078</v>
      </c>
      <c r="P17">
        <v>31581</v>
      </c>
      <c r="Q17">
        <v>30863</v>
      </c>
      <c r="R17">
        <v>27880</v>
      </c>
      <c r="S17">
        <v>30124</v>
      </c>
      <c r="T17">
        <v>29743</v>
      </c>
      <c r="U17">
        <v>33645</v>
      </c>
      <c r="V17">
        <v>32708</v>
      </c>
      <c r="X17" s="43">
        <f t="shared" si="0"/>
        <v>260705</v>
      </c>
      <c r="Z17">
        <f t="shared" si="1"/>
        <v>363324</v>
      </c>
      <c r="AC17" t="s">
        <v>44</v>
      </c>
      <c r="AD17">
        <v>4227</v>
      </c>
      <c r="AE17">
        <v>9480</v>
      </c>
      <c r="AF17">
        <v>9603</v>
      </c>
      <c r="AG17">
        <v>9701</v>
      </c>
      <c r="AH17">
        <v>10320</v>
      </c>
      <c r="AI17">
        <v>10193</v>
      </c>
      <c r="AJ17" s="43">
        <v>10588</v>
      </c>
      <c r="AK17" s="43">
        <v>12496</v>
      </c>
      <c r="AL17" s="43">
        <v>11554</v>
      </c>
      <c r="AM17" s="43"/>
      <c r="AN17">
        <f t="shared" si="3"/>
        <v>88162</v>
      </c>
      <c r="AP17">
        <f t="shared" si="2"/>
        <v>94036</v>
      </c>
      <c r="AS17" s="6" t="s">
        <v>62</v>
      </c>
      <c r="AT17" s="36">
        <v>3355</v>
      </c>
      <c r="AU17" s="36">
        <v>2769</v>
      </c>
      <c r="AV17" s="36">
        <v>3273</v>
      </c>
      <c r="AW17" s="36">
        <v>1463</v>
      </c>
      <c r="AX17">
        <v>1063</v>
      </c>
      <c r="AY17" s="36">
        <v>2360</v>
      </c>
      <c r="AZ17" s="36">
        <v>2357</v>
      </c>
      <c r="BA17" s="36">
        <v>2594</v>
      </c>
      <c r="BB17" s="36">
        <v>2779</v>
      </c>
      <c r="BC17" s="36">
        <v>2241</v>
      </c>
      <c r="BD17" s="36">
        <v>2544</v>
      </c>
      <c r="BE17" s="36">
        <v>2366</v>
      </c>
      <c r="BF17" s="36">
        <v>2478</v>
      </c>
      <c r="BH17">
        <f t="shared" si="4"/>
        <v>31642</v>
      </c>
      <c r="BK17" s="6" t="s">
        <v>62</v>
      </c>
      <c r="BL17" s="36">
        <v>75</v>
      </c>
      <c r="BM17" s="36">
        <v>53</v>
      </c>
      <c r="BN17" s="36">
        <v>60</v>
      </c>
      <c r="BO17" s="36">
        <v>25</v>
      </c>
      <c r="BP17" s="36">
        <v>230</v>
      </c>
      <c r="BR17">
        <f t="shared" si="5"/>
        <v>443</v>
      </c>
    </row>
    <row r="18" spans="1:70" ht="12.75">
      <c r="A18" s="6" t="s">
        <v>42</v>
      </c>
      <c r="B18" s="36">
        <v>160539</v>
      </c>
      <c r="C18" s="36">
        <v>8073</v>
      </c>
      <c r="F18" t="s">
        <v>42</v>
      </c>
      <c r="G18" s="46">
        <v>122954</v>
      </c>
      <c r="H18" s="46">
        <v>16442</v>
      </c>
      <c r="J18" s="46">
        <v>283493</v>
      </c>
      <c r="K18" s="46">
        <v>24515</v>
      </c>
      <c r="M18" t="s">
        <v>42</v>
      </c>
      <c r="N18">
        <v>22983</v>
      </c>
      <c r="O18">
        <v>44539</v>
      </c>
      <c r="P18">
        <v>49423</v>
      </c>
      <c r="Q18">
        <v>50970</v>
      </c>
      <c r="R18">
        <v>51435</v>
      </c>
      <c r="S18">
        <v>44275</v>
      </c>
      <c r="T18">
        <v>44807</v>
      </c>
      <c r="U18">
        <v>44012</v>
      </c>
      <c r="V18">
        <v>42659</v>
      </c>
      <c r="X18" s="43">
        <f t="shared" si="0"/>
        <v>395103</v>
      </c>
      <c r="Z18">
        <f t="shared" si="1"/>
        <v>555642</v>
      </c>
      <c r="AC18" t="s">
        <v>42</v>
      </c>
      <c r="AD18">
        <v>5600</v>
      </c>
      <c r="AE18">
        <v>12804</v>
      </c>
      <c r="AF18">
        <v>13199</v>
      </c>
      <c r="AG18">
        <v>13695</v>
      </c>
      <c r="AH18">
        <v>15587</v>
      </c>
      <c r="AI18">
        <v>14116</v>
      </c>
      <c r="AJ18" s="43">
        <v>14334</v>
      </c>
      <c r="AK18" s="43">
        <v>14986</v>
      </c>
      <c r="AL18" s="43">
        <v>13697</v>
      </c>
      <c r="AM18" s="43"/>
      <c r="AN18">
        <f t="shared" si="3"/>
        <v>118018</v>
      </c>
      <c r="AP18">
        <f t="shared" si="2"/>
        <v>126091</v>
      </c>
      <c r="AS18" s="8" t="s">
        <v>63</v>
      </c>
      <c r="AT18" s="36">
        <v>4933</v>
      </c>
      <c r="AU18" s="36">
        <v>3970</v>
      </c>
      <c r="AV18" s="36">
        <v>4652</v>
      </c>
      <c r="AW18" s="36">
        <v>2218</v>
      </c>
      <c r="AX18">
        <v>425</v>
      </c>
      <c r="AY18" s="31">
        <v>1062</v>
      </c>
      <c r="AZ18" s="31">
        <v>1146</v>
      </c>
      <c r="BA18" s="31">
        <v>1108</v>
      </c>
      <c r="BB18" s="31">
        <v>1115</v>
      </c>
      <c r="BC18" s="31">
        <v>1279</v>
      </c>
      <c r="BD18" s="31">
        <v>1123</v>
      </c>
      <c r="BE18" s="31">
        <v>1276</v>
      </c>
      <c r="BF18" s="31">
        <v>1295</v>
      </c>
      <c r="BH18">
        <f t="shared" si="4"/>
        <v>25602</v>
      </c>
      <c r="BK18" s="8" t="s">
        <v>63</v>
      </c>
      <c r="BL18" s="31">
        <v>19</v>
      </c>
      <c r="BM18" s="31">
        <v>19</v>
      </c>
      <c r="BN18" s="31">
        <v>19</v>
      </c>
      <c r="BO18" s="31">
        <v>6</v>
      </c>
      <c r="BP18" s="31">
        <v>109</v>
      </c>
      <c r="BR18">
        <f t="shared" si="5"/>
        <v>172</v>
      </c>
    </row>
    <row r="19" spans="1:70" ht="12.75">
      <c r="A19" s="6" t="s">
        <v>46</v>
      </c>
      <c r="B19" s="36">
        <v>111514</v>
      </c>
      <c r="C19" s="36">
        <v>10126</v>
      </c>
      <c r="D19" s="45"/>
      <c r="E19" s="45"/>
      <c r="F19" t="s">
        <v>46</v>
      </c>
      <c r="G19" s="46">
        <v>76422</v>
      </c>
      <c r="H19" s="46">
        <v>13549</v>
      </c>
      <c r="J19" s="46">
        <v>187936</v>
      </c>
      <c r="K19" s="46">
        <v>23675</v>
      </c>
      <c r="M19" t="s">
        <v>46</v>
      </c>
      <c r="N19">
        <v>15722</v>
      </c>
      <c r="O19">
        <v>29386</v>
      </c>
      <c r="P19">
        <v>32440</v>
      </c>
      <c r="Q19">
        <v>33571</v>
      </c>
      <c r="R19">
        <v>34785</v>
      </c>
      <c r="S19">
        <v>29920</v>
      </c>
      <c r="T19">
        <v>30017</v>
      </c>
      <c r="U19">
        <v>31221</v>
      </c>
      <c r="V19">
        <v>32095</v>
      </c>
      <c r="X19" s="43">
        <f t="shared" si="0"/>
        <v>269157</v>
      </c>
      <c r="Z19">
        <f t="shared" si="1"/>
        <v>380671</v>
      </c>
      <c r="AC19" t="s">
        <v>46</v>
      </c>
      <c r="AD19">
        <v>4582</v>
      </c>
      <c r="AE19">
        <v>10245</v>
      </c>
      <c r="AF19">
        <v>10812</v>
      </c>
      <c r="AG19">
        <v>11272</v>
      </c>
      <c r="AH19">
        <v>12582</v>
      </c>
      <c r="AI19">
        <v>11358</v>
      </c>
      <c r="AJ19" s="43">
        <v>11577</v>
      </c>
      <c r="AK19" s="43">
        <v>12420</v>
      </c>
      <c r="AL19" s="43">
        <v>12316</v>
      </c>
      <c r="AM19" s="43"/>
      <c r="AN19">
        <f t="shared" si="3"/>
        <v>97164</v>
      </c>
      <c r="AP19">
        <f t="shared" si="2"/>
        <v>107290</v>
      </c>
      <c r="AS19" s="6" t="s">
        <v>64</v>
      </c>
      <c r="AT19" s="31">
        <v>1398</v>
      </c>
      <c r="AU19" s="31">
        <v>1266</v>
      </c>
      <c r="AV19" s="31">
        <v>1632</v>
      </c>
      <c r="AW19" s="31">
        <v>642</v>
      </c>
      <c r="AX19">
        <v>429</v>
      </c>
      <c r="AY19" s="36">
        <v>940</v>
      </c>
      <c r="AZ19" s="36">
        <v>1070</v>
      </c>
      <c r="BA19" s="36">
        <v>1008</v>
      </c>
      <c r="BB19" s="36">
        <v>1259</v>
      </c>
      <c r="BC19" s="36">
        <v>1075</v>
      </c>
      <c r="BD19" s="36">
        <v>1036</v>
      </c>
      <c r="BE19" s="36">
        <v>1187</v>
      </c>
      <c r="BF19" s="36">
        <v>986</v>
      </c>
      <c r="BH19">
        <f t="shared" si="4"/>
        <v>13928</v>
      </c>
      <c r="BK19" s="6" t="s">
        <v>64</v>
      </c>
      <c r="BL19" s="36">
        <v>26</v>
      </c>
      <c r="BM19" s="36">
        <v>27</v>
      </c>
      <c r="BN19" s="36">
        <v>17</v>
      </c>
      <c r="BO19" s="36">
        <v>14</v>
      </c>
      <c r="BP19" s="36">
        <v>101</v>
      </c>
      <c r="BR19">
        <f t="shared" si="5"/>
        <v>185</v>
      </c>
    </row>
    <row r="20" spans="1:70" ht="12.75">
      <c r="A20" s="6" t="s">
        <v>61</v>
      </c>
      <c r="B20" s="36">
        <v>2784</v>
      </c>
      <c r="C20" s="36">
        <v>156</v>
      </c>
      <c r="D20" s="45"/>
      <c r="E20" s="45"/>
      <c r="F20" t="s">
        <v>61</v>
      </c>
      <c r="G20" s="46">
        <v>2962</v>
      </c>
      <c r="H20" s="46">
        <v>491</v>
      </c>
      <c r="J20" s="46">
        <v>5746</v>
      </c>
      <c r="K20" s="46">
        <v>647</v>
      </c>
      <c r="M20" t="s">
        <v>61</v>
      </c>
      <c r="N20">
        <v>390</v>
      </c>
      <c r="O20">
        <v>982</v>
      </c>
      <c r="P20">
        <v>837</v>
      </c>
      <c r="Q20">
        <v>790</v>
      </c>
      <c r="R20">
        <v>1105</v>
      </c>
      <c r="S20">
        <v>1037</v>
      </c>
      <c r="T20">
        <v>1229</v>
      </c>
      <c r="U20">
        <v>1005</v>
      </c>
      <c r="V20">
        <v>1172</v>
      </c>
      <c r="X20" s="43">
        <f t="shared" si="0"/>
        <v>8547</v>
      </c>
      <c r="Z20">
        <f t="shared" si="1"/>
        <v>11331</v>
      </c>
      <c r="AC20" t="s">
        <v>61</v>
      </c>
      <c r="AD20">
        <v>208</v>
      </c>
      <c r="AE20">
        <v>286</v>
      </c>
      <c r="AF20">
        <v>400</v>
      </c>
      <c r="AG20">
        <v>363</v>
      </c>
      <c r="AH20">
        <v>466</v>
      </c>
      <c r="AI20">
        <v>410</v>
      </c>
      <c r="AJ20" s="43">
        <v>450</v>
      </c>
      <c r="AK20" s="43">
        <v>432</v>
      </c>
      <c r="AL20" s="43">
        <v>421</v>
      </c>
      <c r="AM20" s="43"/>
      <c r="AN20">
        <f t="shared" si="3"/>
        <v>3436</v>
      </c>
      <c r="AP20">
        <f t="shared" si="2"/>
        <v>3592</v>
      </c>
      <c r="AS20" s="6" t="s">
        <v>65</v>
      </c>
      <c r="AT20" s="36">
        <v>1217</v>
      </c>
      <c r="AU20" s="36">
        <v>1160</v>
      </c>
      <c r="AV20" s="36">
        <v>1416</v>
      </c>
      <c r="AW20" s="36">
        <v>590</v>
      </c>
      <c r="AX20">
        <v>1865</v>
      </c>
      <c r="AY20" s="36">
        <v>3918</v>
      </c>
      <c r="AZ20" s="36">
        <v>4144</v>
      </c>
      <c r="BA20" s="36">
        <v>4049</v>
      </c>
      <c r="BB20" s="36">
        <v>4556</v>
      </c>
      <c r="BC20" s="36">
        <v>4114</v>
      </c>
      <c r="BD20" s="36">
        <v>4422</v>
      </c>
      <c r="BE20" s="36">
        <v>4246</v>
      </c>
      <c r="BF20" s="36">
        <v>4107</v>
      </c>
      <c r="BH20">
        <f t="shared" si="4"/>
        <v>39804</v>
      </c>
      <c r="BK20" s="2" t="s">
        <v>65</v>
      </c>
      <c r="BL20" s="32">
        <v>82</v>
      </c>
      <c r="BM20" s="32">
        <v>52</v>
      </c>
      <c r="BN20" s="32">
        <v>70</v>
      </c>
      <c r="BO20" s="32">
        <v>44</v>
      </c>
      <c r="BP20" s="36">
        <v>440</v>
      </c>
      <c r="BR20">
        <f t="shared" si="5"/>
        <v>688</v>
      </c>
    </row>
    <row r="21" spans="1:70" ht="12.75">
      <c r="A21" s="6" t="s">
        <v>62</v>
      </c>
      <c r="B21" s="36">
        <v>27616</v>
      </c>
      <c r="C21" s="36">
        <v>1620</v>
      </c>
      <c r="D21" s="45"/>
      <c r="E21" s="45"/>
      <c r="F21" t="s">
        <v>62</v>
      </c>
      <c r="G21" s="46">
        <v>22161</v>
      </c>
      <c r="H21" s="46">
        <v>3941</v>
      </c>
      <c r="J21" s="46">
        <v>49777</v>
      </c>
      <c r="K21" s="46">
        <v>5561</v>
      </c>
      <c r="M21" t="s">
        <v>62</v>
      </c>
      <c r="N21">
        <v>3560</v>
      </c>
      <c r="O21">
        <v>7293</v>
      </c>
      <c r="P21">
        <v>9148</v>
      </c>
      <c r="Q21">
        <v>9569</v>
      </c>
      <c r="R21">
        <v>9324</v>
      </c>
      <c r="S21">
        <v>7012</v>
      </c>
      <c r="T21">
        <v>7767</v>
      </c>
      <c r="U21">
        <v>7451</v>
      </c>
      <c r="V21">
        <v>6557</v>
      </c>
      <c r="X21" s="43">
        <f t="shared" si="0"/>
        <v>67681</v>
      </c>
      <c r="Z21">
        <f t="shared" si="1"/>
        <v>95297</v>
      </c>
      <c r="AC21" t="s">
        <v>62</v>
      </c>
      <c r="AD21">
        <v>1368</v>
      </c>
      <c r="AE21">
        <v>2902</v>
      </c>
      <c r="AF21">
        <v>3050</v>
      </c>
      <c r="AG21">
        <v>3325</v>
      </c>
      <c r="AH21">
        <v>3468</v>
      </c>
      <c r="AI21">
        <v>2992</v>
      </c>
      <c r="AJ21" s="43">
        <v>3410</v>
      </c>
      <c r="AK21" s="43">
        <v>3346</v>
      </c>
      <c r="AL21" s="43">
        <v>3177</v>
      </c>
      <c r="AM21" s="43"/>
      <c r="AN21">
        <f t="shared" si="3"/>
        <v>27038</v>
      </c>
      <c r="AP21">
        <f t="shared" si="2"/>
        <v>28658</v>
      </c>
      <c r="AS21" s="8" t="s">
        <v>66</v>
      </c>
      <c r="AT21" s="36">
        <v>5388</v>
      </c>
      <c r="AU21" s="36">
        <v>4774</v>
      </c>
      <c r="AV21" s="36">
        <v>5460</v>
      </c>
      <c r="AW21" s="36">
        <v>2553</v>
      </c>
      <c r="AX21">
        <v>3072</v>
      </c>
      <c r="AY21" s="31">
        <v>7108</v>
      </c>
      <c r="AZ21" s="31">
        <v>7962</v>
      </c>
      <c r="BA21" s="31">
        <v>7882</v>
      </c>
      <c r="BB21" s="31">
        <v>9786</v>
      </c>
      <c r="BC21" s="31">
        <v>8038</v>
      </c>
      <c r="BD21" s="31">
        <v>7935</v>
      </c>
      <c r="BE21" s="31">
        <v>8246</v>
      </c>
      <c r="BF21" s="31">
        <v>8474</v>
      </c>
      <c r="BH21">
        <f t="shared" si="4"/>
        <v>86678</v>
      </c>
      <c r="BK21" s="8" t="s">
        <v>66</v>
      </c>
      <c r="BL21" s="31">
        <v>99</v>
      </c>
      <c r="BM21" s="31">
        <v>89</v>
      </c>
      <c r="BN21" s="31">
        <v>119</v>
      </c>
      <c r="BO21" s="31">
        <v>53</v>
      </c>
      <c r="BP21" s="31">
        <v>436</v>
      </c>
      <c r="BR21">
        <f t="shared" si="5"/>
        <v>796</v>
      </c>
    </row>
    <row r="22" spans="1:70" ht="12.75">
      <c r="A22" s="6" t="s">
        <v>40</v>
      </c>
      <c r="B22" s="36">
        <v>218552</v>
      </c>
      <c r="C22" s="36">
        <v>15683</v>
      </c>
      <c r="D22" s="45"/>
      <c r="E22" s="45"/>
      <c r="F22" t="s">
        <v>40</v>
      </c>
      <c r="G22" s="46">
        <v>209764</v>
      </c>
      <c r="H22" s="46">
        <v>22443</v>
      </c>
      <c r="J22" s="46">
        <v>428316</v>
      </c>
      <c r="K22" s="46">
        <v>38126</v>
      </c>
      <c r="M22" t="s">
        <v>40</v>
      </c>
      <c r="N22">
        <v>27362</v>
      </c>
      <c r="O22">
        <v>60391</v>
      </c>
      <c r="P22">
        <v>63675</v>
      </c>
      <c r="Q22">
        <v>61829</v>
      </c>
      <c r="R22">
        <v>64304</v>
      </c>
      <c r="S22">
        <v>57039</v>
      </c>
      <c r="T22">
        <v>55701</v>
      </c>
      <c r="U22">
        <v>21245</v>
      </c>
      <c r="V22">
        <v>12975</v>
      </c>
      <c r="X22" s="43">
        <f t="shared" si="0"/>
        <v>424521</v>
      </c>
      <c r="Z22">
        <f t="shared" si="1"/>
        <v>643073</v>
      </c>
      <c r="AC22" t="s">
        <v>40</v>
      </c>
      <c r="AD22">
        <v>6928</v>
      </c>
      <c r="AE22">
        <v>17497</v>
      </c>
      <c r="AF22">
        <v>18470</v>
      </c>
      <c r="AG22">
        <v>17439</v>
      </c>
      <c r="AH22">
        <v>19445</v>
      </c>
      <c r="AI22">
        <v>18750</v>
      </c>
      <c r="AJ22" s="43">
        <v>18079</v>
      </c>
      <c r="AK22" s="43">
        <v>4661</v>
      </c>
      <c r="AL22" s="43">
        <v>33</v>
      </c>
      <c r="AM22" s="43"/>
      <c r="AN22">
        <f t="shared" si="3"/>
        <v>121302</v>
      </c>
      <c r="AP22">
        <f t="shared" si="2"/>
        <v>136985</v>
      </c>
      <c r="AS22" s="6" t="s">
        <v>67</v>
      </c>
      <c r="AT22" s="31">
        <v>9246</v>
      </c>
      <c r="AU22" s="31">
        <v>8202</v>
      </c>
      <c r="AV22" s="31">
        <v>9562</v>
      </c>
      <c r="AW22" s="31">
        <v>4373</v>
      </c>
      <c r="AX22">
        <v>6421</v>
      </c>
      <c r="AY22" s="36">
        <v>13260</v>
      </c>
      <c r="AZ22" s="36">
        <v>14614</v>
      </c>
      <c r="BA22" s="36">
        <v>14011</v>
      </c>
      <c r="BB22" s="36">
        <v>17197</v>
      </c>
      <c r="BC22" s="36">
        <v>15320</v>
      </c>
      <c r="BD22" s="36">
        <v>15200</v>
      </c>
      <c r="BE22" s="36">
        <v>15596</v>
      </c>
      <c r="BF22" s="36">
        <v>15588</v>
      </c>
      <c r="BH22">
        <f t="shared" si="4"/>
        <v>158590</v>
      </c>
      <c r="BK22" s="6" t="s">
        <v>67</v>
      </c>
      <c r="BL22" s="36">
        <v>325</v>
      </c>
      <c r="BM22" s="36">
        <v>239</v>
      </c>
      <c r="BN22" s="36">
        <v>344</v>
      </c>
      <c r="BO22" s="36">
        <v>117</v>
      </c>
      <c r="BP22" s="36">
        <v>1170</v>
      </c>
      <c r="BR22">
        <f t="shared" si="5"/>
        <v>2195</v>
      </c>
    </row>
    <row r="23" spans="1:70" ht="12.75">
      <c r="A23" s="6" t="s">
        <v>63</v>
      </c>
      <c r="B23" s="36">
        <v>17027</v>
      </c>
      <c r="C23" s="36">
        <v>1398</v>
      </c>
      <c r="D23" s="45"/>
      <c r="E23" s="45"/>
      <c r="F23" t="s">
        <v>63</v>
      </c>
      <c r="G23" s="46">
        <v>18427</v>
      </c>
      <c r="H23" s="46">
        <v>1746</v>
      </c>
      <c r="J23" s="46">
        <v>35454</v>
      </c>
      <c r="K23" s="46">
        <v>3144</v>
      </c>
      <c r="M23" t="s">
        <v>63</v>
      </c>
      <c r="N23">
        <v>2588</v>
      </c>
      <c r="O23">
        <v>4338</v>
      </c>
      <c r="P23">
        <v>5619</v>
      </c>
      <c r="Q23">
        <v>5883</v>
      </c>
      <c r="R23">
        <v>5646</v>
      </c>
      <c r="S23">
        <v>4803</v>
      </c>
      <c r="T23">
        <v>5321</v>
      </c>
      <c r="U23">
        <v>4987</v>
      </c>
      <c r="V23">
        <v>4627</v>
      </c>
      <c r="X23" s="43">
        <f t="shared" si="0"/>
        <v>43812</v>
      </c>
      <c r="Z23">
        <f t="shared" si="1"/>
        <v>60839</v>
      </c>
      <c r="AC23" t="s">
        <v>63</v>
      </c>
      <c r="AD23">
        <v>628</v>
      </c>
      <c r="AE23">
        <v>1364</v>
      </c>
      <c r="AF23">
        <v>1628</v>
      </c>
      <c r="AG23">
        <v>1583</v>
      </c>
      <c r="AH23">
        <v>1555</v>
      </c>
      <c r="AI23">
        <v>1900</v>
      </c>
      <c r="AJ23" s="43">
        <v>1563</v>
      </c>
      <c r="AK23" s="43">
        <v>1796</v>
      </c>
      <c r="AL23" s="43">
        <v>1714</v>
      </c>
      <c r="AM23" s="43"/>
      <c r="AN23">
        <f t="shared" si="3"/>
        <v>13731</v>
      </c>
      <c r="AP23">
        <f t="shared" si="2"/>
        <v>15129</v>
      </c>
      <c r="AS23" s="6" t="s">
        <v>68</v>
      </c>
      <c r="AT23" s="36">
        <v>18009</v>
      </c>
      <c r="AU23" s="36">
        <v>15732</v>
      </c>
      <c r="AV23" s="36">
        <v>18284</v>
      </c>
      <c r="AW23" s="36">
        <v>7951</v>
      </c>
      <c r="AX23">
        <v>2268</v>
      </c>
      <c r="AY23" s="36">
        <v>4456</v>
      </c>
      <c r="AZ23" s="36">
        <v>4733</v>
      </c>
      <c r="BA23" s="36">
        <v>4928</v>
      </c>
      <c r="BB23" s="36">
        <v>6594</v>
      </c>
      <c r="BC23" s="36">
        <v>5052</v>
      </c>
      <c r="BD23" s="36">
        <v>5298</v>
      </c>
      <c r="BE23" s="36">
        <v>5575</v>
      </c>
      <c r="BF23" s="36">
        <v>5589</v>
      </c>
      <c r="BH23">
        <f t="shared" si="4"/>
        <v>104469</v>
      </c>
      <c r="BK23" s="2" t="s">
        <v>68</v>
      </c>
      <c r="BL23" s="32">
        <v>87</v>
      </c>
      <c r="BM23" s="32">
        <v>75</v>
      </c>
      <c r="BN23" s="32">
        <v>83</v>
      </c>
      <c r="BO23" s="32">
        <v>46</v>
      </c>
      <c r="BP23" s="36">
        <v>391</v>
      </c>
      <c r="BR23">
        <f t="shared" si="5"/>
        <v>682</v>
      </c>
    </row>
    <row r="24" spans="1:70" ht="12.75">
      <c r="A24" s="6" t="s">
        <v>64</v>
      </c>
      <c r="B24" s="36">
        <v>10317</v>
      </c>
      <c r="C24" s="36">
        <v>640</v>
      </c>
      <c r="D24" s="45"/>
      <c r="E24" s="45"/>
      <c r="F24" t="s">
        <v>64</v>
      </c>
      <c r="G24" s="46">
        <v>9891</v>
      </c>
      <c r="H24" s="46">
        <v>1627</v>
      </c>
      <c r="J24" s="46">
        <v>20208</v>
      </c>
      <c r="K24" s="46">
        <v>2267</v>
      </c>
      <c r="M24" t="s">
        <v>64</v>
      </c>
      <c r="N24">
        <v>1285</v>
      </c>
      <c r="O24">
        <v>2641</v>
      </c>
      <c r="P24">
        <v>3170</v>
      </c>
      <c r="Q24">
        <v>3133</v>
      </c>
      <c r="R24">
        <v>3249</v>
      </c>
      <c r="S24">
        <v>2637</v>
      </c>
      <c r="T24">
        <v>3031</v>
      </c>
      <c r="U24">
        <v>2917</v>
      </c>
      <c r="V24">
        <v>2958</v>
      </c>
      <c r="X24" s="43">
        <f t="shared" si="0"/>
        <v>25021</v>
      </c>
      <c r="Z24">
        <f t="shared" si="1"/>
        <v>35338</v>
      </c>
      <c r="AC24" t="s">
        <v>64</v>
      </c>
      <c r="AD24">
        <v>548</v>
      </c>
      <c r="AE24">
        <v>1211</v>
      </c>
      <c r="AF24">
        <v>1369</v>
      </c>
      <c r="AG24">
        <v>1438</v>
      </c>
      <c r="AH24">
        <v>1535</v>
      </c>
      <c r="AI24">
        <v>1447</v>
      </c>
      <c r="AJ24" s="43">
        <v>1448</v>
      </c>
      <c r="AK24" s="43">
        <v>1670</v>
      </c>
      <c r="AL24" s="43">
        <v>1358</v>
      </c>
      <c r="AM24" s="43"/>
      <c r="AN24">
        <f t="shared" si="3"/>
        <v>12024</v>
      </c>
      <c r="AP24">
        <f t="shared" si="2"/>
        <v>12664</v>
      </c>
      <c r="AS24" s="8" t="s">
        <v>99</v>
      </c>
      <c r="AT24" s="36">
        <v>6703</v>
      </c>
      <c r="AU24" s="36">
        <v>5699</v>
      </c>
      <c r="AV24" s="36">
        <v>6758</v>
      </c>
      <c r="AW24" s="36">
        <v>3101</v>
      </c>
      <c r="AX24">
        <v>1553</v>
      </c>
      <c r="AY24" s="31">
        <v>3745</v>
      </c>
      <c r="AZ24" s="31">
        <v>4145</v>
      </c>
      <c r="BA24" s="31">
        <v>4087</v>
      </c>
      <c r="BB24" s="31">
        <v>4791</v>
      </c>
      <c r="BC24" s="31">
        <v>4139</v>
      </c>
      <c r="BD24" s="31">
        <v>4443</v>
      </c>
      <c r="BE24" s="31">
        <v>4433</v>
      </c>
      <c r="BF24" s="31">
        <v>4543</v>
      </c>
      <c r="BH24">
        <f t="shared" si="4"/>
        <v>58140</v>
      </c>
      <c r="BK24" s="2" t="s">
        <v>99</v>
      </c>
      <c r="BL24" s="32">
        <v>91</v>
      </c>
      <c r="BM24" s="32">
        <v>61</v>
      </c>
      <c r="BN24" s="32">
        <v>68</v>
      </c>
      <c r="BO24" s="32">
        <v>52</v>
      </c>
      <c r="BP24" s="31">
        <v>401</v>
      </c>
      <c r="BR24">
        <f t="shared" si="5"/>
        <v>673</v>
      </c>
    </row>
    <row r="25" spans="1:70" ht="12.75">
      <c r="A25" s="6" t="s">
        <v>65</v>
      </c>
      <c r="B25" s="36">
        <v>66275</v>
      </c>
      <c r="C25" s="36">
        <v>3823</v>
      </c>
      <c r="D25" s="45"/>
      <c r="E25" s="45"/>
      <c r="F25" t="s">
        <v>65</v>
      </c>
      <c r="G25" s="46">
        <v>61473</v>
      </c>
      <c r="H25" s="46">
        <v>6638</v>
      </c>
      <c r="J25" s="46">
        <v>127748</v>
      </c>
      <c r="K25" s="46">
        <v>10461</v>
      </c>
      <c r="M25" t="s">
        <v>65</v>
      </c>
      <c r="N25">
        <v>9166</v>
      </c>
      <c r="O25">
        <v>17990</v>
      </c>
      <c r="P25">
        <v>22347</v>
      </c>
      <c r="Q25">
        <v>22025</v>
      </c>
      <c r="R25">
        <v>21152</v>
      </c>
      <c r="S25">
        <v>17764</v>
      </c>
      <c r="T25">
        <v>18747</v>
      </c>
      <c r="U25">
        <v>19186</v>
      </c>
      <c r="V25">
        <v>17643</v>
      </c>
      <c r="X25" s="43">
        <f t="shared" si="0"/>
        <v>166020</v>
      </c>
      <c r="Z25">
        <f t="shared" si="1"/>
        <v>232295</v>
      </c>
      <c r="AC25" t="s">
        <v>65</v>
      </c>
      <c r="AD25">
        <v>2367</v>
      </c>
      <c r="AE25">
        <v>5140</v>
      </c>
      <c r="AF25">
        <v>5529</v>
      </c>
      <c r="AG25">
        <v>5496</v>
      </c>
      <c r="AH25">
        <v>5852</v>
      </c>
      <c r="AI25">
        <v>5544</v>
      </c>
      <c r="AJ25" s="43">
        <v>6064</v>
      </c>
      <c r="AK25" s="43">
        <v>5841</v>
      </c>
      <c r="AL25" s="43">
        <v>5390</v>
      </c>
      <c r="AM25" s="43"/>
      <c r="AN25">
        <f t="shared" si="3"/>
        <v>47223</v>
      </c>
      <c r="AP25">
        <f t="shared" si="2"/>
        <v>51046</v>
      </c>
      <c r="AS25" s="6" t="s">
        <v>69</v>
      </c>
      <c r="AT25" s="31">
        <v>6906</v>
      </c>
      <c r="AU25" s="31">
        <v>5785</v>
      </c>
      <c r="AV25" s="31">
        <v>6455</v>
      </c>
      <c r="AW25" s="31">
        <v>2939</v>
      </c>
      <c r="AX25">
        <v>2265</v>
      </c>
      <c r="AY25" s="36">
        <v>4587</v>
      </c>
      <c r="AZ25" s="36">
        <v>5215</v>
      </c>
      <c r="BA25" s="36">
        <v>4822</v>
      </c>
      <c r="BB25" s="36">
        <v>6031</v>
      </c>
      <c r="BC25" s="36">
        <v>5375</v>
      </c>
      <c r="BD25" s="36">
        <v>5216</v>
      </c>
      <c r="BE25" s="36">
        <v>4717</v>
      </c>
      <c r="BF25" s="36">
        <v>4953</v>
      </c>
      <c r="BH25">
        <f t="shared" si="4"/>
        <v>65266</v>
      </c>
      <c r="BK25" s="8" t="s">
        <v>69</v>
      </c>
      <c r="BL25" s="31">
        <v>133</v>
      </c>
      <c r="BM25" s="31">
        <v>109</v>
      </c>
      <c r="BN25" s="31">
        <v>99</v>
      </c>
      <c r="BO25" s="31">
        <v>60</v>
      </c>
      <c r="BP25" s="36">
        <v>368</v>
      </c>
      <c r="BR25">
        <f t="shared" si="5"/>
        <v>769</v>
      </c>
    </row>
    <row r="26" spans="1:70" ht="12.75">
      <c r="A26" s="6" t="s">
        <v>66</v>
      </c>
      <c r="B26" s="36">
        <v>154511</v>
      </c>
      <c r="C26" s="36">
        <v>7783</v>
      </c>
      <c r="D26" s="45"/>
      <c r="E26" s="45"/>
      <c r="F26" t="s">
        <v>66</v>
      </c>
      <c r="G26" s="46">
        <v>115666</v>
      </c>
      <c r="H26" s="46">
        <v>11903</v>
      </c>
      <c r="J26" s="46">
        <v>270177</v>
      </c>
      <c r="K26" s="46">
        <v>19686</v>
      </c>
      <c r="M26" t="s">
        <v>66</v>
      </c>
      <c r="N26">
        <v>21322</v>
      </c>
      <c r="O26">
        <v>39436</v>
      </c>
      <c r="P26">
        <v>48426</v>
      </c>
      <c r="Q26">
        <v>47328</v>
      </c>
      <c r="R26">
        <v>50867</v>
      </c>
      <c r="S26">
        <v>43065</v>
      </c>
      <c r="T26">
        <v>43441</v>
      </c>
      <c r="U26">
        <v>43931</v>
      </c>
      <c r="V26">
        <v>43120</v>
      </c>
      <c r="X26" s="43">
        <f t="shared" si="0"/>
        <v>380936</v>
      </c>
      <c r="Z26">
        <f t="shared" si="1"/>
        <v>535447</v>
      </c>
      <c r="AC26" t="s">
        <v>66</v>
      </c>
      <c r="AD26">
        <v>3880</v>
      </c>
      <c r="AE26">
        <v>8777</v>
      </c>
      <c r="AF26">
        <v>9705</v>
      </c>
      <c r="AG26">
        <v>10085</v>
      </c>
      <c r="AH26">
        <v>11684</v>
      </c>
      <c r="AI26">
        <v>10266</v>
      </c>
      <c r="AJ26" s="43">
        <v>10783</v>
      </c>
      <c r="AK26" s="43">
        <v>11191</v>
      </c>
      <c r="AL26" s="43">
        <v>10676</v>
      </c>
      <c r="AM26" s="43"/>
      <c r="AN26">
        <f t="shared" si="3"/>
        <v>87047</v>
      </c>
      <c r="AP26">
        <f t="shared" si="2"/>
        <v>94830</v>
      </c>
      <c r="AS26" s="6" t="s">
        <v>70</v>
      </c>
      <c r="AT26" s="36">
        <v>2536</v>
      </c>
      <c r="AU26" s="36">
        <v>2174</v>
      </c>
      <c r="AV26" s="36">
        <v>2343</v>
      </c>
      <c r="AW26" s="36">
        <v>1035</v>
      </c>
      <c r="AX26">
        <v>700</v>
      </c>
      <c r="AY26" s="36">
        <v>1556</v>
      </c>
      <c r="AZ26" s="36">
        <v>1522</v>
      </c>
      <c r="BA26" s="36">
        <v>1807</v>
      </c>
      <c r="BB26" s="36">
        <v>2495</v>
      </c>
      <c r="BC26" s="36">
        <v>2297</v>
      </c>
      <c r="BD26" s="36">
        <v>2124</v>
      </c>
      <c r="BE26" s="36">
        <v>2106</v>
      </c>
      <c r="BF26" s="36">
        <v>2139</v>
      </c>
      <c r="BH26">
        <f t="shared" si="4"/>
        <v>24834</v>
      </c>
      <c r="BK26" s="6" t="s">
        <v>70</v>
      </c>
      <c r="BL26" s="36">
        <v>46</v>
      </c>
      <c r="BM26" s="36">
        <v>38</v>
      </c>
      <c r="BN26" s="36">
        <v>41</v>
      </c>
      <c r="BO26" s="36">
        <v>16</v>
      </c>
      <c r="BP26" s="36">
        <v>187</v>
      </c>
      <c r="BR26">
        <f t="shared" si="5"/>
        <v>328</v>
      </c>
    </row>
    <row r="27" spans="1:70" ht="12.75">
      <c r="A27" s="6" t="s">
        <v>48</v>
      </c>
      <c r="B27" s="36">
        <v>107210</v>
      </c>
      <c r="C27" s="36">
        <v>6538</v>
      </c>
      <c r="D27" s="45"/>
      <c r="E27" s="45"/>
      <c r="F27" t="s">
        <v>48</v>
      </c>
      <c r="G27" s="46">
        <v>75313</v>
      </c>
      <c r="H27" s="46">
        <v>13583</v>
      </c>
      <c r="J27" s="46">
        <v>182523</v>
      </c>
      <c r="K27" s="46">
        <v>20121</v>
      </c>
      <c r="M27" t="s">
        <v>48</v>
      </c>
      <c r="N27">
        <v>14557</v>
      </c>
      <c r="O27">
        <v>28603</v>
      </c>
      <c r="P27">
        <v>31084</v>
      </c>
      <c r="Q27">
        <v>29248</v>
      </c>
      <c r="R27">
        <v>30917</v>
      </c>
      <c r="S27">
        <v>28246</v>
      </c>
      <c r="T27">
        <v>28169</v>
      </c>
      <c r="U27">
        <v>27370</v>
      </c>
      <c r="V27">
        <v>26571</v>
      </c>
      <c r="X27" s="43">
        <f t="shared" si="0"/>
        <v>244765</v>
      </c>
      <c r="Z27">
        <f t="shared" si="1"/>
        <v>351975</v>
      </c>
      <c r="AC27" t="s">
        <v>48</v>
      </c>
      <c r="AD27">
        <v>4435</v>
      </c>
      <c r="AE27">
        <v>10429</v>
      </c>
      <c r="AF27">
        <v>10547</v>
      </c>
      <c r="AG27">
        <v>10135</v>
      </c>
      <c r="AH27">
        <v>12064</v>
      </c>
      <c r="AI27">
        <v>11173</v>
      </c>
      <c r="AJ27" s="43">
        <v>11694</v>
      </c>
      <c r="AK27" s="43">
        <v>11584</v>
      </c>
      <c r="AL27" s="43">
        <v>10763</v>
      </c>
      <c r="AM27" s="43"/>
      <c r="AN27">
        <f t="shared" si="3"/>
        <v>92824</v>
      </c>
      <c r="AP27">
        <f t="shared" si="2"/>
        <v>99362</v>
      </c>
      <c r="AS27" s="8" t="s">
        <v>71</v>
      </c>
      <c r="AT27" s="36">
        <v>443</v>
      </c>
      <c r="AU27" s="36">
        <v>428</v>
      </c>
      <c r="AV27" s="36">
        <v>503</v>
      </c>
      <c r="AW27" s="36">
        <v>150</v>
      </c>
      <c r="AX27">
        <v>119</v>
      </c>
      <c r="AY27" s="31">
        <v>350</v>
      </c>
      <c r="AZ27" s="31">
        <v>286</v>
      </c>
      <c r="BA27" s="31">
        <v>252</v>
      </c>
      <c r="BB27" s="31">
        <v>394</v>
      </c>
      <c r="BC27" s="31">
        <v>368</v>
      </c>
      <c r="BD27" s="31">
        <v>513</v>
      </c>
      <c r="BE27" s="31">
        <v>578</v>
      </c>
      <c r="BF27" s="31">
        <v>431</v>
      </c>
      <c r="BH27">
        <f t="shared" si="4"/>
        <v>4815</v>
      </c>
      <c r="BK27" s="2" t="s">
        <v>71</v>
      </c>
      <c r="BL27" s="32">
        <v>9</v>
      </c>
      <c r="BM27" s="32">
        <v>7</v>
      </c>
      <c r="BN27" s="32">
        <v>14</v>
      </c>
      <c r="BO27" s="32">
        <v>4</v>
      </c>
      <c r="BP27" s="31">
        <v>25</v>
      </c>
      <c r="BR27">
        <f t="shared" si="5"/>
        <v>59</v>
      </c>
    </row>
    <row r="28" spans="1:70" ht="12.75">
      <c r="A28" s="6" t="s">
        <v>67</v>
      </c>
      <c r="B28" s="36">
        <v>218023</v>
      </c>
      <c r="C28" s="36">
        <v>6334</v>
      </c>
      <c r="D28" s="45"/>
      <c r="E28" s="45"/>
      <c r="F28" t="s">
        <v>67</v>
      </c>
      <c r="G28" s="46">
        <v>165066</v>
      </c>
      <c r="H28" s="46">
        <v>23000</v>
      </c>
      <c r="J28" s="46">
        <v>383089</v>
      </c>
      <c r="K28" s="46">
        <v>29334</v>
      </c>
      <c r="M28" t="s">
        <v>67</v>
      </c>
      <c r="N28">
        <v>30574</v>
      </c>
      <c r="O28">
        <v>59008</v>
      </c>
      <c r="P28">
        <v>71419</v>
      </c>
      <c r="Q28">
        <v>69388</v>
      </c>
      <c r="R28">
        <v>71241</v>
      </c>
      <c r="S28">
        <v>61987</v>
      </c>
      <c r="T28">
        <v>63167</v>
      </c>
      <c r="U28">
        <v>62652</v>
      </c>
      <c r="V28">
        <v>61624</v>
      </c>
      <c r="X28" s="43">
        <f t="shared" si="0"/>
        <v>551060</v>
      </c>
      <c r="Z28">
        <f t="shared" si="1"/>
        <v>769083</v>
      </c>
      <c r="AC28" t="s">
        <v>67</v>
      </c>
      <c r="AD28">
        <v>8094</v>
      </c>
      <c r="AE28">
        <v>17147</v>
      </c>
      <c r="AF28">
        <v>18879</v>
      </c>
      <c r="AG28">
        <v>18564</v>
      </c>
      <c r="AH28">
        <v>20931</v>
      </c>
      <c r="AI28">
        <v>20129</v>
      </c>
      <c r="AJ28" s="43">
        <v>20891</v>
      </c>
      <c r="AK28" s="43">
        <v>22076</v>
      </c>
      <c r="AL28" s="43">
        <v>19478</v>
      </c>
      <c r="AM28" s="43"/>
      <c r="AN28">
        <f t="shared" si="3"/>
        <v>166189</v>
      </c>
      <c r="AP28">
        <f t="shared" si="2"/>
        <v>172523</v>
      </c>
      <c r="AS28" s="6" t="s">
        <v>72</v>
      </c>
      <c r="AT28" s="31">
        <v>8539</v>
      </c>
      <c r="AU28" s="31">
        <v>7352</v>
      </c>
      <c r="AV28" s="31">
        <v>8626</v>
      </c>
      <c r="AW28" s="31">
        <v>3646</v>
      </c>
      <c r="AX28">
        <v>2795</v>
      </c>
      <c r="AY28" s="36">
        <v>6120</v>
      </c>
      <c r="AZ28" s="36">
        <v>6454</v>
      </c>
      <c r="BA28" s="36">
        <v>6374</v>
      </c>
      <c r="BB28" s="36">
        <v>8006</v>
      </c>
      <c r="BC28" s="36">
        <v>6556</v>
      </c>
      <c r="BD28" s="36">
        <v>6537</v>
      </c>
      <c r="BE28" s="36">
        <v>6350</v>
      </c>
      <c r="BF28" s="36">
        <v>6397</v>
      </c>
      <c r="BH28">
        <f t="shared" si="4"/>
        <v>83752</v>
      </c>
      <c r="BK28" s="8" t="s">
        <v>72</v>
      </c>
      <c r="BL28" s="31">
        <v>119</v>
      </c>
      <c r="BM28" s="31">
        <v>93</v>
      </c>
      <c r="BN28" s="31">
        <v>106</v>
      </c>
      <c r="BO28" s="31">
        <v>50</v>
      </c>
      <c r="BP28" s="36">
        <v>539</v>
      </c>
      <c r="BR28">
        <f t="shared" si="5"/>
        <v>907</v>
      </c>
    </row>
    <row r="29" spans="1:70" ht="12.75">
      <c r="A29" s="6" t="s">
        <v>68</v>
      </c>
      <c r="B29" s="36">
        <v>83474</v>
      </c>
      <c r="C29" s="36">
        <v>4744</v>
      </c>
      <c r="D29" s="45"/>
      <c r="E29" s="45"/>
      <c r="F29" t="s">
        <v>68</v>
      </c>
      <c r="G29" s="46">
        <v>64839</v>
      </c>
      <c r="H29" s="46">
        <v>7693</v>
      </c>
      <c r="J29" s="46">
        <v>148313</v>
      </c>
      <c r="K29" s="46">
        <v>12437</v>
      </c>
      <c r="M29" t="s">
        <v>68</v>
      </c>
      <c r="N29">
        <v>11553</v>
      </c>
      <c r="O29">
        <v>22004</v>
      </c>
      <c r="P29">
        <v>25853</v>
      </c>
      <c r="Q29">
        <v>25267</v>
      </c>
      <c r="R29">
        <v>26175</v>
      </c>
      <c r="S29">
        <v>21737</v>
      </c>
      <c r="T29">
        <v>22701</v>
      </c>
      <c r="U29">
        <v>23257</v>
      </c>
      <c r="V29">
        <v>22244</v>
      </c>
      <c r="X29" s="43">
        <f t="shared" si="0"/>
        <v>200791</v>
      </c>
      <c r="Z29">
        <f t="shared" si="1"/>
        <v>284265</v>
      </c>
      <c r="AC29" t="s">
        <v>68</v>
      </c>
      <c r="AD29">
        <v>2774</v>
      </c>
      <c r="AE29">
        <v>5683</v>
      </c>
      <c r="AF29">
        <v>6133</v>
      </c>
      <c r="AG29">
        <v>6870</v>
      </c>
      <c r="AH29">
        <v>7802</v>
      </c>
      <c r="AI29">
        <v>6486</v>
      </c>
      <c r="AJ29" s="43">
        <v>7363</v>
      </c>
      <c r="AK29" s="43">
        <v>7729</v>
      </c>
      <c r="AL29" s="43">
        <v>7011</v>
      </c>
      <c r="AM29" s="43"/>
      <c r="AN29">
        <f t="shared" si="3"/>
        <v>57851</v>
      </c>
      <c r="AP29">
        <f t="shared" si="2"/>
        <v>62595</v>
      </c>
      <c r="AS29" s="6" t="s">
        <v>73</v>
      </c>
      <c r="AT29" s="36">
        <v>908</v>
      </c>
      <c r="AU29" s="36">
        <v>949</v>
      </c>
      <c r="AV29" s="36">
        <v>1330</v>
      </c>
      <c r="AW29" s="36">
        <v>459</v>
      </c>
      <c r="AX29">
        <v>420</v>
      </c>
      <c r="AY29" s="36">
        <v>822</v>
      </c>
      <c r="AZ29" s="36">
        <v>1014</v>
      </c>
      <c r="BA29" s="36">
        <v>853</v>
      </c>
      <c r="BB29" s="36">
        <v>1087</v>
      </c>
      <c r="BC29" s="36">
        <v>1028</v>
      </c>
      <c r="BD29" s="36">
        <v>838</v>
      </c>
      <c r="BE29" s="36">
        <v>801</v>
      </c>
      <c r="BF29" s="36">
        <v>853</v>
      </c>
      <c r="BH29">
        <f t="shared" si="4"/>
        <v>11362</v>
      </c>
      <c r="BK29" s="6" t="s">
        <v>73</v>
      </c>
      <c r="BL29" s="36">
        <v>12</v>
      </c>
      <c r="BM29" s="36">
        <v>10</v>
      </c>
      <c r="BN29" s="36">
        <v>7</v>
      </c>
      <c r="BO29" s="36">
        <v>5</v>
      </c>
      <c r="BP29" s="36">
        <v>69</v>
      </c>
      <c r="BR29">
        <f t="shared" si="5"/>
        <v>103</v>
      </c>
    </row>
    <row r="30" spans="1:70" ht="12.75">
      <c r="A30" s="6" t="s">
        <v>101</v>
      </c>
      <c r="B30" s="36">
        <v>61277</v>
      </c>
      <c r="C30" s="36">
        <v>8285</v>
      </c>
      <c r="D30" s="45"/>
      <c r="E30" s="45"/>
      <c r="F30" t="s">
        <v>99</v>
      </c>
      <c r="G30" s="46">
        <v>53596</v>
      </c>
      <c r="H30" s="46">
        <v>6299</v>
      </c>
      <c r="J30" s="46">
        <v>114873</v>
      </c>
      <c r="K30" s="46">
        <v>14584</v>
      </c>
      <c r="M30" t="s">
        <v>99</v>
      </c>
      <c r="N30">
        <v>7948</v>
      </c>
      <c r="O30">
        <v>16457</v>
      </c>
      <c r="P30">
        <v>19759</v>
      </c>
      <c r="Q30">
        <v>19564</v>
      </c>
      <c r="R30">
        <v>20065</v>
      </c>
      <c r="S30">
        <v>16776</v>
      </c>
      <c r="T30">
        <v>18314</v>
      </c>
      <c r="U30">
        <v>17982</v>
      </c>
      <c r="V30">
        <v>17294</v>
      </c>
      <c r="X30" s="43">
        <f t="shared" si="0"/>
        <v>154159</v>
      </c>
      <c r="Z30">
        <f t="shared" si="1"/>
        <v>215436</v>
      </c>
      <c r="AC30" t="s">
        <v>99</v>
      </c>
      <c r="AD30">
        <v>1984</v>
      </c>
      <c r="AE30">
        <v>4838</v>
      </c>
      <c r="AF30">
        <v>5180</v>
      </c>
      <c r="AG30">
        <v>5481</v>
      </c>
      <c r="AH30">
        <v>5735</v>
      </c>
      <c r="AI30">
        <v>5652</v>
      </c>
      <c r="AJ30" s="43">
        <v>5970</v>
      </c>
      <c r="AK30" s="43">
        <v>6017</v>
      </c>
      <c r="AL30" s="43">
        <v>5725</v>
      </c>
      <c r="AM30" s="43"/>
      <c r="AN30">
        <f t="shared" si="3"/>
        <v>46582</v>
      </c>
      <c r="AP30">
        <f t="shared" si="2"/>
        <v>54867</v>
      </c>
      <c r="AS30" s="8" t="s">
        <v>74</v>
      </c>
      <c r="AT30" s="36">
        <v>4019</v>
      </c>
      <c r="AU30" s="36">
        <v>3417</v>
      </c>
      <c r="AV30" s="36">
        <v>4235</v>
      </c>
      <c r="AW30" s="36">
        <v>1562</v>
      </c>
      <c r="AX30">
        <v>1332</v>
      </c>
      <c r="AY30" s="31">
        <v>2794</v>
      </c>
      <c r="AZ30" s="31">
        <v>3180</v>
      </c>
      <c r="BA30" s="31">
        <v>2892</v>
      </c>
      <c r="BB30" s="31">
        <v>3298</v>
      </c>
      <c r="BC30" s="31">
        <v>2531</v>
      </c>
      <c r="BD30" s="31">
        <v>2575</v>
      </c>
      <c r="BE30" s="31">
        <v>2716</v>
      </c>
      <c r="BF30" s="31">
        <v>2746</v>
      </c>
      <c r="BH30">
        <f t="shared" si="4"/>
        <v>37297</v>
      </c>
      <c r="BK30" s="2" t="s">
        <v>74</v>
      </c>
      <c r="BL30" s="32">
        <v>77</v>
      </c>
      <c r="BM30" s="32">
        <v>46</v>
      </c>
      <c r="BN30" s="32">
        <v>50</v>
      </c>
      <c r="BO30" s="32">
        <v>20</v>
      </c>
      <c r="BP30" s="31">
        <v>239</v>
      </c>
      <c r="BR30">
        <f t="shared" si="5"/>
        <v>432</v>
      </c>
    </row>
    <row r="31" spans="1:70" ht="12.75">
      <c r="A31" s="6" t="s">
        <v>22</v>
      </c>
      <c r="B31" s="36">
        <v>74</v>
      </c>
      <c r="C31" s="36">
        <v>3813</v>
      </c>
      <c r="E31" s="45"/>
      <c r="F31" t="s">
        <v>22</v>
      </c>
      <c r="G31" s="46">
        <v>539</v>
      </c>
      <c r="H31" s="46">
        <v>1</v>
      </c>
      <c r="J31" s="46">
        <v>613</v>
      </c>
      <c r="K31" s="46">
        <v>3814</v>
      </c>
      <c r="M31" t="s">
        <v>22</v>
      </c>
      <c r="N31">
        <v>0</v>
      </c>
      <c r="P31">
        <v>1</v>
      </c>
      <c r="Q31">
        <v>1</v>
      </c>
      <c r="R31">
        <v>1</v>
      </c>
      <c r="S31">
        <v>10</v>
      </c>
      <c r="T31">
        <v>19</v>
      </c>
      <c r="U31">
        <v>0</v>
      </c>
      <c r="X31" s="43">
        <f t="shared" si="0"/>
        <v>32</v>
      </c>
      <c r="Z31">
        <f t="shared" si="1"/>
        <v>106</v>
      </c>
      <c r="AC31" t="s">
        <v>22</v>
      </c>
      <c r="AD31">
        <v>1</v>
      </c>
      <c r="AE31">
        <v>5</v>
      </c>
      <c r="AF31">
        <v>1</v>
      </c>
      <c r="AK31">
        <v>1</v>
      </c>
      <c r="AN31">
        <f t="shared" si="3"/>
        <v>8</v>
      </c>
      <c r="AP31">
        <f t="shared" si="2"/>
        <v>3821</v>
      </c>
      <c r="AS31" s="6" t="s">
        <v>75</v>
      </c>
      <c r="AT31" s="31">
        <v>1653</v>
      </c>
      <c r="AU31" s="31">
        <v>1433</v>
      </c>
      <c r="AV31" s="31">
        <v>1564</v>
      </c>
      <c r="AW31" s="31">
        <v>566</v>
      </c>
      <c r="AX31">
        <v>422</v>
      </c>
      <c r="AY31" s="36">
        <v>1238</v>
      </c>
      <c r="AZ31" s="36">
        <v>1049</v>
      </c>
      <c r="BA31" s="36">
        <v>1023</v>
      </c>
      <c r="BB31" s="36">
        <v>1316</v>
      </c>
      <c r="BC31" s="36">
        <v>1150</v>
      </c>
      <c r="BD31" s="36">
        <v>1145</v>
      </c>
      <c r="BE31" s="36">
        <v>1095</v>
      </c>
      <c r="BF31" s="36">
        <v>1139</v>
      </c>
      <c r="BH31">
        <f t="shared" si="4"/>
        <v>14793</v>
      </c>
      <c r="BK31" s="8" t="s">
        <v>75</v>
      </c>
      <c r="BL31" s="31">
        <v>19</v>
      </c>
      <c r="BM31" s="31">
        <v>23</v>
      </c>
      <c r="BN31" s="31">
        <v>18</v>
      </c>
      <c r="BO31" s="31">
        <v>14</v>
      </c>
      <c r="BP31" s="36">
        <v>109</v>
      </c>
      <c r="BR31">
        <f t="shared" si="5"/>
        <v>183</v>
      </c>
    </row>
    <row r="32" spans="1:70" ht="12.75">
      <c r="A32" s="6" t="s">
        <v>50</v>
      </c>
      <c r="B32" s="36">
        <v>54643</v>
      </c>
      <c r="C32" s="36">
        <v>2274</v>
      </c>
      <c r="E32" s="45"/>
      <c r="F32" t="s">
        <v>50</v>
      </c>
      <c r="G32" s="46">
        <v>36625</v>
      </c>
      <c r="H32" s="46">
        <v>7273</v>
      </c>
      <c r="J32" s="46">
        <v>91268</v>
      </c>
      <c r="K32" s="46">
        <v>9547</v>
      </c>
      <c r="M32" t="s">
        <v>50</v>
      </c>
      <c r="N32">
        <v>7214</v>
      </c>
      <c r="O32">
        <v>14700</v>
      </c>
      <c r="P32">
        <v>16327</v>
      </c>
      <c r="Q32">
        <v>16380</v>
      </c>
      <c r="R32">
        <v>16639</v>
      </c>
      <c r="S32">
        <v>14479</v>
      </c>
      <c r="T32">
        <v>15341</v>
      </c>
      <c r="U32">
        <v>17028</v>
      </c>
      <c r="V32">
        <v>17472</v>
      </c>
      <c r="X32" s="43">
        <f t="shared" si="0"/>
        <v>135580</v>
      </c>
      <c r="Z32">
        <f t="shared" si="1"/>
        <v>190223</v>
      </c>
      <c r="AC32" t="s">
        <v>50</v>
      </c>
      <c r="AD32">
        <v>2563</v>
      </c>
      <c r="AE32">
        <v>5923</v>
      </c>
      <c r="AF32">
        <v>6105</v>
      </c>
      <c r="AG32">
        <v>5818</v>
      </c>
      <c r="AH32">
        <v>6569</v>
      </c>
      <c r="AI32">
        <v>5903</v>
      </c>
      <c r="AJ32" s="43">
        <v>6344</v>
      </c>
      <c r="AK32" s="43">
        <v>7879</v>
      </c>
      <c r="AL32" s="43">
        <v>7197</v>
      </c>
      <c r="AM32" s="43"/>
      <c r="AN32">
        <f t="shared" si="3"/>
        <v>54301</v>
      </c>
      <c r="AP32">
        <f t="shared" si="2"/>
        <v>56575</v>
      </c>
      <c r="AS32" s="6" t="s">
        <v>76</v>
      </c>
      <c r="AT32" s="36">
        <v>5489</v>
      </c>
      <c r="AU32" s="36">
        <v>4657</v>
      </c>
      <c r="AV32" s="36">
        <v>5442</v>
      </c>
      <c r="AW32" s="36">
        <v>2189</v>
      </c>
      <c r="AX32">
        <v>1724</v>
      </c>
      <c r="AY32" s="36">
        <v>3716</v>
      </c>
      <c r="AZ32" s="36">
        <v>3860</v>
      </c>
      <c r="BA32" s="36">
        <v>4032</v>
      </c>
      <c r="BB32" s="36">
        <v>4887</v>
      </c>
      <c r="BC32" s="36">
        <v>4550</v>
      </c>
      <c r="BD32" s="36">
        <v>4589</v>
      </c>
      <c r="BE32" s="36">
        <v>3964</v>
      </c>
      <c r="BF32" s="36">
        <v>3616</v>
      </c>
      <c r="BH32">
        <f t="shared" si="4"/>
        <v>52715</v>
      </c>
      <c r="BK32" s="6" t="s">
        <v>76</v>
      </c>
      <c r="BL32" s="36">
        <v>71</v>
      </c>
      <c r="BM32" s="36">
        <v>58</v>
      </c>
      <c r="BN32" s="36">
        <v>91</v>
      </c>
      <c r="BO32" s="36">
        <v>29</v>
      </c>
      <c r="BP32" s="36">
        <v>253</v>
      </c>
      <c r="BR32">
        <f t="shared" si="5"/>
        <v>502</v>
      </c>
    </row>
    <row r="33" spans="1:70" ht="12.75">
      <c r="A33" s="6" t="s">
        <v>69</v>
      </c>
      <c r="B33" s="36">
        <v>70395</v>
      </c>
      <c r="C33" s="36">
        <v>4010</v>
      </c>
      <c r="D33" s="45"/>
      <c r="E33" s="45"/>
      <c r="F33" t="s">
        <v>69</v>
      </c>
      <c r="G33" s="46">
        <v>52699</v>
      </c>
      <c r="H33" s="46">
        <v>8146</v>
      </c>
      <c r="J33" s="46">
        <v>123094</v>
      </c>
      <c r="K33" s="46">
        <v>12156</v>
      </c>
      <c r="M33" t="s">
        <v>69</v>
      </c>
      <c r="N33">
        <v>8597</v>
      </c>
      <c r="O33">
        <v>16525</v>
      </c>
      <c r="P33">
        <v>22137</v>
      </c>
      <c r="Q33">
        <v>20699</v>
      </c>
      <c r="R33">
        <v>20897</v>
      </c>
      <c r="S33">
        <v>18060</v>
      </c>
      <c r="T33">
        <v>18720</v>
      </c>
      <c r="U33">
        <v>17364</v>
      </c>
      <c r="V33">
        <v>16515</v>
      </c>
      <c r="X33" s="43">
        <f t="shared" si="0"/>
        <v>159514</v>
      </c>
      <c r="Z33">
        <f t="shared" si="1"/>
        <v>229909</v>
      </c>
      <c r="AC33" t="s">
        <v>69</v>
      </c>
      <c r="AD33">
        <v>2897</v>
      </c>
      <c r="AE33">
        <v>6011</v>
      </c>
      <c r="AF33">
        <v>6804</v>
      </c>
      <c r="AG33">
        <v>6274</v>
      </c>
      <c r="AH33">
        <v>7585</v>
      </c>
      <c r="AI33">
        <v>7072</v>
      </c>
      <c r="AJ33" s="43">
        <v>6930</v>
      </c>
      <c r="AK33" s="43">
        <v>6656</v>
      </c>
      <c r="AL33" s="43">
        <v>6506</v>
      </c>
      <c r="AM33" s="43"/>
      <c r="AN33">
        <f t="shared" si="3"/>
        <v>56735</v>
      </c>
      <c r="AP33">
        <f t="shared" si="2"/>
        <v>60745</v>
      </c>
      <c r="AS33" s="8" t="s">
        <v>96</v>
      </c>
      <c r="AT33" s="36">
        <v>2056</v>
      </c>
      <c r="AU33" s="36">
        <v>1596</v>
      </c>
      <c r="AV33" s="36">
        <v>1950</v>
      </c>
      <c r="AW33" s="36">
        <v>1115</v>
      </c>
      <c r="AX33">
        <v>712</v>
      </c>
      <c r="AY33" s="31">
        <v>1818</v>
      </c>
      <c r="AZ33" s="31">
        <v>2013</v>
      </c>
      <c r="BA33" s="31">
        <v>1934</v>
      </c>
      <c r="BB33" s="31">
        <v>2031</v>
      </c>
      <c r="BC33" s="31">
        <v>1535</v>
      </c>
      <c r="BD33" s="31">
        <v>1947</v>
      </c>
      <c r="BE33" s="31">
        <v>1805</v>
      </c>
      <c r="BF33" s="31">
        <v>1786</v>
      </c>
      <c r="BH33">
        <f t="shared" si="4"/>
        <v>22298</v>
      </c>
      <c r="BK33" s="6" t="s">
        <v>96</v>
      </c>
      <c r="BL33" s="36">
        <v>28</v>
      </c>
      <c r="BM33" s="36">
        <v>23</v>
      </c>
      <c r="BN33" s="36">
        <v>23</v>
      </c>
      <c r="BO33" s="36">
        <v>14</v>
      </c>
      <c r="BP33" s="31">
        <v>98</v>
      </c>
      <c r="BR33">
        <f t="shared" si="5"/>
        <v>186</v>
      </c>
    </row>
    <row r="34" spans="1:70" ht="12.75">
      <c r="A34" s="6" t="s">
        <v>70</v>
      </c>
      <c r="B34" s="36">
        <v>23914</v>
      </c>
      <c r="C34" s="36">
        <v>1693</v>
      </c>
      <c r="D34" s="45"/>
      <c r="E34" s="45"/>
      <c r="F34" t="s">
        <v>70</v>
      </c>
      <c r="G34" s="46">
        <v>21072</v>
      </c>
      <c r="H34" s="46">
        <v>2575</v>
      </c>
      <c r="J34" s="46">
        <v>44986</v>
      </c>
      <c r="K34" s="46">
        <v>4268</v>
      </c>
      <c r="M34" t="s">
        <v>70</v>
      </c>
      <c r="N34">
        <v>2976</v>
      </c>
      <c r="O34">
        <v>5805</v>
      </c>
      <c r="P34">
        <v>7307</v>
      </c>
      <c r="Q34">
        <v>7268</v>
      </c>
      <c r="R34">
        <v>7294</v>
      </c>
      <c r="S34">
        <v>6270</v>
      </c>
      <c r="T34">
        <v>7011</v>
      </c>
      <c r="U34">
        <v>6684</v>
      </c>
      <c r="V34">
        <v>6085</v>
      </c>
      <c r="X34" s="43">
        <f t="shared" si="0"/>
        <v>56700</v>
      </c>
      <c r="Z34">
        <f t="shared" si="1"/>
        <v>80614</v>
      </c>
      <c r="AC34" t="s">
        <v>70</v>
      </c>
      <c r="AD34">
        <v>926</v>
      </c>
      <c r="AE34">
        <v>2146</v>
      </c>
      <c r="AF34">
        <v>2119</v>
      </c>
      <c r="AG34">
        <v>2429</v>
      </c>
      <c r="AH34">
        <v>3144</v>
      </c>
      <c r="AI34">
        <v>3050</v>
      </c>
      <c r="AJ34" s="43">
        <v>2993</v>
      </c>
      <c r="AK34" s="43">
        <v>2986</v>
      </c>
      <c r="AL34" s="43">
        <v>2757</v>
      </c>
      <c r="AM34" s="43"/>
      <c r="AN34">
        <f t="shared" si="3"/>
        <v>22550</v>
      </c>
      <c r="AP34">
        <f t="shared" si="2"/>
        <v>24243</v>
      </c>
      <c r="AS34" s="6" t="s">
        <v>77</v>
      </c>
      <c r="AT34" s="31">
        <v>5885</v>
      </c>
      <c r="AU34" s="31">
        <v>5125</v>
      </c>
      <c r="AV34" s="31">
        <v>5837</v>
      </c>
      <c r="AW34" s="31">
        <v>2791</v>
      </c>
      <c r="AX34">
        <v>1896</v>
      </c>
      <c r="AY34" s="36">
        <v>4285</v>
      </c>
      <c r="AZ34" s="36">
        <v>4126</v>
      </c>
      <c r="BA34" s="36">
        <v>4332</v>
      </c>
      <c r="BB34" s="36">
        <v>5030</v>
      </c>
      <c r="BC34" s="36">
        <v>4199</v>
      </c>
      <c r="BD34" s="36">
        <v>4529</v>
      </c>
      <c r="BE34" s="36">
        <v>4605</v>
      </c>
      <c r="BF34" s="36">
        <v>4253</v>
      </c>
      <c r="BH34">
        <f t="shared" si="4"/>
        <v>56893</v>
      </c>
      <c r="BK34" s="8" t="s">
        <v>77</v>
      </c>
      <c r="BL34" s="31">
        <v>58</v>
      </c>
      <c r="BM34" s="31">
        <v>48</v>
      </c>
      <c r="BN34" s="31">
        <v>46</v>
      </c>
      <c r="BO34" s="31">
        <v>18</v>
      </c>
      <c r="BP34" s="36">
        <v>249</v>
      </c>
      <c r="BR34">
        <f t="shared" si="5"/>
        <v>419</v>
      </c>
    </row>
    <row r="35" spans="1:70" ht="12.75">
      <c r="A35" s="6" t="s">
        <v>71</v>
      </c>
      <c r="B35" s="36">
        <v>5958</v>
      </c>
      <c r="C35" s="36">
        <v>658</v>
      </c>
      <c r="D35" s="45"/>
      <c r="E35" s="45"/>
      <c r="F35" t="s">
        <v>71</v>
      </c>
      <c r="G35" s="46">
        <v>5602</v>
      </c>
      <c r="H35" s="46">
        <v>521</v>
      </c>
      <c r="J35" s="46">
        <v>11560</v>
      </c>
      <c r="K35" s="46">
        <v>1179</v>
      </c>
      <c r="M35" t="s">
        <v>71</v>
      </c>
      <c r="N35">
        <v>667</v>
      </c>
      <c r="O35">
        <v>1318</v>
      </c>
      <c r="P35">
        <v>1214</v>
      </c>
      <c r="Q35">
        <v>1589</v>
      </c>
      <c r="R35">
        <v>1871</v>
      </c>
      <c r="S35">
        <v>1555</v>
      </c>
      <c r="T35">
        <v>1874</v>
      </c>
      <c r="U35">
        <v>1635</v>
      </c>
      <c r="V35">
        <v>1352</v>
      </c>
      <c r="X35" s="43">
        <f aca="true" t="shared" si="6" ref="X35:X57">SUM(N35:W35)</f>
        <v>13075</v>
      </c>
      <c r="Z35">
        <f aca="true" t="shared" si="7" ref="Z35:Z58">B35+X35</f>
        <v>19033</v>
      </c>
      <c r="AC35" t="s">
        <v>71</v>
      </c>
      <c r="AD35">
        <v>155</v>
      </c>
      <c r="AE35">
        <v>381</v>
      </c>
      <c r="AF35">
        <v>360</v>
      </c>
      <c r="AG35">
        <v>333</v>
      </c>
      <c r="AH35">
        <v>450</v>
      </c>
      <c r="AI35">
        <v>459</v>
      </c>
      <c r="AJ35" s="43">
        <v>686</v>
      </c>
      <c r="AK35" s="43">
        <v>780</v>
      </c>
      <c r="AL35" s="43">
        <v>547</v>
      </c>
      <c r="AM35" s="43"/>
      <c r="AN35">
        <f t="shared" si="3"/>
        <v>4151</v>
      </c>
      <c r="AP35">
        <f t="shared" si="2"/>
        <v>4809</v>
      </c>
      <c r="AS35" s="6" t="s">
        <v>78</v>
      </c>
      <c r="AT35" s="36">
        <v>159</v>
      </c>
      <c r="AU35" s="36">
        <v>102</v>
      </c>
      <c r="AV35" s="36">
        <v>278</v>
      </c>
      <c r="AW35" s="36">
        <v>115</v>
      </c>
      <c r="AX35">
        <v>84</v>
      </c>
      <c r="AY35" s="36">
        <v>168</v>
      </c>
      <c r="AZ35" s="36">
        <v>163</v>
      </c>
      <c r="BA35" s="36">
        <v>124</v>
      </c>
      <c r="BB35" s="36">
        <v>158</v>
      </c>
      <c r="BC35" s="36">
        <v>157</v>
      </c>
      <c r="BD35" s="36">
        <v>227</v>
      </c>
      <c r="BE35" s="36">
        <v>273</v>
      </c>
      <c r="BF35" s="36">
        <v>188</v>
      </c>
      <c r="BH35">
        <f t="shared" si="4"/>
        <v>2196</v>
      </c>
      <c r="BK35" s="6" t="s">
        <v>78</v>
      </c>
      <c r="BL35" s="36">
        <v>4</v>
      </c>
      <c r="BM35" s="36">
        <v>2</v>
      </c>
      <c r="BN35" s="36">
        <v>0</v>
      </c>
      <c r="BO35" s="36">
        <v>0</v>
      </c>
      <c r="BP35" s="36">
        <v>21</v>
      </c>
      <c r="BR35">
        <f t="shared" si="5"/>
        <v>27</v>
      </c>
    </row>
    <row r="36" spans="1:70" ht="12.75">
      <c r="A36" s="6" t="s">
        <v>72</v>
      </c>
      <c r="B36" s="36">
        <v>88710</v>
      </c>
      <c r="C36" s="36">
        <v>5892</v>
      </c>
      <c r="D36" s="45"/>
      <c r="E36" s="45"/>
      <c r="F36" t="s">
        <v>72</v>
      </c>
      <c r="G36" s="46">
        <v>67592</v>
      </c>
      <c r="H36" s="46">
        <v>10271</v>
      </c>
      <c r="J36" s="46">
        <v>156302</v>
      </c>
      <c r="K36" s="46">
        <v>16163</v>
      </c>
      <c r="M36" t="s">
        <v>72</v>
      </c>
      <c r="N36">
        <v>12012</v>
      </c>
      <c r="O36">
        <v>23346</v>
      </c>
      <c r="P36">
        <v>29612</v>
      </c>
      <c r="Q36">
        <v>28859</v>
      </c>
      <c r="R36">
        <v>28380</v>
      </c>
      <c r="S36">
        <v>23714</v>
      </c>
      <c r="T36">
        <v>22890</v>
      </c>
      <c r="U36">
        <v>22929</v>
      </c>
      <c r="V36">
        <v>21829</v>
      </c>
      <c r="X36" s="43">
        <f t="shared" si="6"/>
        <v>213571</v>
      </c>
      <c r="Z36">
        <f t="shared" si="7"/>
        <v>302281</v>
      </c>
      <c r="AC36" t="s">
        <v>72</v>
      </c>
      <c r="AD36">
        <v>3738</v>
      </c>
      <c r="AE36">
        <v>7930</v>
      </c>
      <c r="AF36">
        <v>8403</v>
      </c>
      <c r="AG36">
        <v>8322</v>
      </c>
      <c r="AH36">
        <v>9770</v>
      </c>
      <c r="AI36">
        <v>8813</v>
      </c>
      <c r="AJ36" s="43">
        <v>8888</v>
      </c>
      <c r="AK36" s="43">
        <v>8756</v>
      </c>
      <c r="AL36" s="43">
        <v>8201</v>
      </c>
      <c r="AM36" s="43"/>
      <c r="AN36">
        <f t="shared" si="3"/>
        <v>72821</v>
      </c>
      <c r="AP36">
        <f t="shared" si="2"/>
        <v>78713</v>
      </c>
      <c r="AS36" s="8" t="s">
        <v>79</v>
      </c>
      <c r="AT36" s="36">
        <v>95</v>
      </c>
      <c r="AU36" s="36">
        <v>85</v>
      </c>
      <c r="AV36" s="36">
        <v>87</v>
      </c>
      <c r="AW36" s="36">
        <v>51</v>
      </c>
      <c r="AX36">
        <v>78</v>
      </c>
      <c r="AY36" s="31">
        <v>145</v>
      </c>
      <c r="AZ36" s="31">
        <v>214</v>
      </c>
      <c r="BA36" s="31">
        <v>112</v>
      </c>
      <c r="BB36" s="31">
        <v>129</v>
      </c>
      <c r="BC36" s="31">
        <v>117</v>
      </c>
      <c r="BD36" s="31">
        <v>133</v>
      </c>
      <c r="BE36" s="31">
        <v>127</v>
      </c>
      <c r="BF36" s="31">
        <v>92</v>
      </c>
      <c r="BH36">
        <f t="shared" si="4"/>
        <v>1465</v>
      </c>
      <c r="BK36" s="6" t="s">
        <v>79</v>
      </c>
      <c r="BL36" s="36">
        <v>1</v>
      </c>
      <c r="BM36" s="36">
        <v>1</v>
      </c>
      <c r="BN36" s="36">
        <v>4</v>
      </c>
      <c r="BO36" s="36">
        <v>0</v>
      </c>
      <c r="BP36" s="31">
        <v>29</v>
      </c>
      <c r="BR36">
        <f t="shared" si="5"/>
        <v>35</v>
      </c>
    </row>
    <row r="37" spans="1:70" ht="12.75">
      <c r="A37" s="6" t="s">
        <v>73</v>
      </c>
      <c r="B37" s="36">
        <v>11481</v>
      </c>
      <c r="C37" s="36">
        <v>1311</v>
      </c>
      <c r="D37" s="45"/>
      <c r="E37" s="45"/>
      <c r="F37" t="s">
        <v>73</v>
      </c>
      <c r="G37" s="46">
        <v>10853</v>
      </c>
      <c r="H37" s="46">
        <v>1502</v>
      </c>
      <c r="J37" s="46">
        <v>22334</v>
      </c>
      <c r="K37" s="46">
        <v>2813</v>
      </c>
      <c r="M37" t="s">
        <v>73</v>
      </c>
      <c r="N37">
        <v>1597</v>
      </c>
      <c r="O37">
        <v>2964</v>
      </c>
      <c r="P37">
        <v>3533</v>
      </c>
      <c r="Q37">
        <v>2976</v>
      </c>
      <c r="R37">
        <v>3122</v>
      </c>
      <c r="S37">
        <v>2785</v>
      </c>
      <c r="T37">
        <v>2715</v>
      </c>
      <c r="U37">
        <v>2456</v>
      </c>
      <c r="V37">
        <v>2290</v>
      </c>
      <c r="X37" s="43">
        <f t="shared" si="6"/>
        <v>24438</v>
      </c>
      <c r="Z37">
        <f t="shared" si="7"/>
        <v>35919</v>
      </c>
      <c r="AC37" t="s">
        <v>73</v>
      </c>
      <c r="AD37">
        <v>523</v>
      </c>
      <c r="AE37">
        <v>1041</v>
      </c>
      <c r="AF37">
        <v>1253</v>
      </c>
      <c r="AG37">
        <v>1175</v>
      </c>
      <c r="AH37">
        <v>1409</v>
      </c>
      <c r="AI37">
        <v>1295</v>
      </c>
      <c r="AJ37" s="43">
        <v>1089</v>
      </c>
      <c r="AK37" s="43">
        <v>1091</v>
      </c>
      <c r="AL37" s="43">
        <v>1129</v>
      </c>
      <c r="AM37" s="43"/>
      <c r="AN37">
        <f t="shared" si="3"/>
        <v>10005</v>
      </c>
      <c r="AP37">
        <f t="shared" si="2"/>
        <v>11316</v>
      </c>
      <c r="AS37" s="6" t="s">
        <v>80</v>
      </c>
      <c r="AT37" s="31">
        <v>0</v>
      </c>
      <c r="AU37" s="31">
        <v>3</v>
      </c>
      <c r="AV37" s="31">
        <v>9</v>
      </c>
      <c r="AW37" s="31">
        <v>0</v>
      </c>
      <c r="AX37">
        <v>0</v>
      </c>
      <c r="AY37" s="36">
        <v>0</v>
      </c>
      <c r="AZ37" s="36">
        <v>0</v>
      </c>
      <c r="BA37" s="36">
        <v>0</v>
      </c>
      <c r="BB37" s="36"/>
      <c r="BC37" s="36">
        <v>0</v>
      </c>
      <c r="BD37" s="36">
        <v>0</v>
      </c>
      <c r="BE37" s="36">
        <v>0</v>
      </c>
      <c r="BF37" s="36">
        <v>0</v>
      </c>
      <c r="BH37">
        <f t="shared" si="4"/>
        <v>12</v>
      </c>
      <c r="BK37" s="8" t="s">
        <v>80</v>
      </c>
      <c r="BL37" s="31">
        <v>0</v>
      </c>
      <c r="BM37" s="31">
        <v>0</v>
      </c>
      <c r="BN37" s="31">
        <v>0</v>
      </c>
      <c r="BO37" s="31">
        <v>0</v>
      </c>
      <c r="BP37" s="36">
        <v>0</v>
      </c>
      <c r="BR37">
        <f t="shared" si="5"/>
        <v>0</v>
      </c>
    </row>
    <row r="38" spans="1:70" ht="12.75">
      <c r="A38" s="6" t="s">
        <v>74</v>
      </c>
      <c r="B38" s="36">
        <v>43092</v>
      </c>
      <c r="C38" s="36">
        <v>4325</v>
      </c>
      <c r="D38" s="45"/>
      <c r="E38" s="45"/>
      <c r="F38" t="s">
        <v>74</v>
      </c>
      <c r="G38" s="46">
        <v>36018</v>
      </c>
      <c r="H38" s="46">
        <v>4838</v>
      </c>
      <c r="J38" s="46">
        <v>79110</v>
      </c>
      <c r="K38" s="46">
        <v>9163</v>
      </c>
      <c r="M38" t="s">
        <v>74</v>
      </c>
      <c r="N38">
        <v>5367</v>
      </c>
      <c r="O38">
        <v>10130</v>
      </c>
      <c r="P38">
        <v>13230</v>
      </c>
      <c r="Q38">
        <v>12961</v>
      </c>
      <c r="R38">
        <v>13187</v>
      </c>
      <c r="S38">
        <v>10530</v>
      </c>
      <c r="T38">
        <v>10748</v>
      </c>
      <c r="U38">
        <v>11183</v>
      </c>
      <c r="V38">
        <v>9944</v>
      </c>
      <c r="X38" s="43">
        <f t="shared" si="6"/>
        <v>97280</v>
      </c>
      <c r="Z38">
        <f t="shared" si="7"/>
        <v>140372</v>
      </c>
      <c r="AC38" t="s">
        <v>74</v>
      </c>
      <c r="AD38">
        <v>1671</v>
      </c>
      <c r="AE38">
        <v>3506</v>
      </c>
      <c r="AF38">
        <v>4024</v>
      </c>
      <c r="AG38">
        <v>3735</v>
      </c>
      <c r="AH38">
        <v>4054</v>
      </c>
      <c r="AI38">
        <v>3253</v>
      </c>
      <c r="AJ38" s="43">
        <v>3465</v>
      </c>
      <c r="AK38" s="43">
        <v>3765</v>
      </c>
      <c r="AL38" s="43">
        <v>3588</v>
      </c>
      <c r="AM38" s="43"/>
      <c r="AN38">
        <f t="shared" si="3"/>
        <v>31061</v>
      </c>
      <c r="AP38">
        <f t="shared" si="2"/>
        <v>35386</v>
      </c>
      <c r="AS38" s="6" t="s">
        <v>81</v>
      </c>
      <c r="AT38" s="36">
        <v>2833</v>
      </c>
      <c r="AU38" s="36">
        <v>2576</v>
      </c>
      <c r="AV38" s="36">
        <v>2678</v>
      </c>
      <c r="AW38" s="36">
        <v>1095</v>
      </c>
      <c r="AX38">
        <v>919</v>
      </c>
      <c r="AY38" s="36">
        <v>2003</v>
      </c>
      <c r="AZ38" s="36">
        <v>2001</v>
      </c>
      <c r="BA38" s="36">
        <v>1868</v>
      </c>
      <c r="BB38" s="36">
        <v>2370</v>
      </c>
      <c r="BC38" s="36">
        <v>2123</v>
      </c>
      <c r="BD38" s="36">
        <v>2049</v>
      </c>
      <c r="BE38" s="36">
        <v>2106</v>
      </c>
      <c r="BF38" s="36">
        <v>2128</v>
      </c>
      <c r="BH38">
        <f t="shared" si="4"/>
        <v>26749</v>
      </c>
      <c r="BK38" s="6" t="s">
        <v>81</v>
      </c>
      <c r="BL38" s="36">
        <v>33</v>
      </c>
      <c r="BM38" s="36">
        <v>35</v>
      </c>
      <c r="BN38" s="36">
        <v>47</v>
      </c>
      <c r="BO38" s="36">
        <v>23</v>
      </c>
      <c r="BP38" s="36">
        <v>96</v>
      </c>
      <c r="BR38">
        <f t="shared" si="5"/>
        <v>234</v>
      </c>
    </row>
    <row r="39" spans="1:70" ht="12.75">
      <c r="A39" s="6" t="s">
        <v>52</v>
      </c>
      <c r="B39" s="36">
        <v>205268</v>
      </c>
      <c r="C39" s="36">
        <v>10033</v>
      </c>
      <c r="D39" s="45"/>
      <c r="E39" s="45"/>
      <c r="F39" t="s">
        <v>52</v>
      </c>
      <c r="G39" s="46">
        <v>139808</v>
      </c>
      <c r="H39" s="46">
        <v>21742</v>
      </c>
      <c r="J39" s="46">
        <v>345076</v>
      </c>
      <c r="K39" s="46">
        <v>31775</v>
      </c>
      <c r="M39" t="s">
        <v>52</v>
      </c>
      <c r="N39">
        <v>28271</v>
      </c>
      <c r="O39">
        <v>54344</v>
      </c>
      <c r="P39">
        <v>58693</v>
      </c>
      <c r="Q39">
        <v>58862</v>
      </c>
      <c r="R39">
        <v>60176</v>
      </c>
      <c r="S39">
        <v>54491</v>
      </c>
      <c r="T39">
        <v>55701</v>
      </c>
      <c r="U39">
        <v>56289</v>
      </c>
      <c r="V39">
        <v>54837</v>
      </c>
      <c r="X39" s="43">
        <f t="shared" si="6"/>
        <v>481664</v>
      </c>
      <c r="Z39">
        <f t="shared" si="7"/>
        <v>686932</v>
      </c>
      <c r="AC39" t="s">
        <v>52</v>
      </c>
      <c r="AD39">
        <v>7437</v>
      </c>
      <c r="AE39">
        <v>16917</v>
      </c>
      <c r="AF39">
        <v>16856</v>
      </c>
      <c r="AG39">
        <v>16807</v>
      </c>
      <c r="AH39">
        <v>20571</v>
      </c>
      <c r="AI39">
        <v>18144</v>
      </c>
      <c r="AJ39" s="43">
        <v>18569</v>
      </c>
      <c r="AK39" s="43">
        <v>20873</v>
      </c>
      <c r="AL39" s="43">
        <v>18800</v>
      </c>
      <c r="AM39" s="43"/>
      <c r="AN39">
        <f t="shared" si="3"/>
        <v>154974</v>
      </c>
      <c r="AP39">
        <f t="shared" si="2"/>
        <v>165007</v>
      </c>
      <c r="AS39" s="8" t="s">
        <v>82</v>
      </c>
      <c r="AT39" s="36">
        <v>2823</v>
      </c>
      <c r="AU39" s="36">
        <v>2377</v>
      </c>
      <c r="AV39" s="36">
        <v>3105</v>
      </c>
      <c r="AW39" s="36">
        <v>1326</v>
      </c>
      <c r="AX39">
        <v>1182</v>
      </c>
      <c r="AY39" s="31">
        <v>2222</v>
      </c>
      <c r="AZ39" s="31">
        <v>2237</v>
      </c>
      <c r="BA39" s="31">
        <v>2449</v>
      </c>
      <c r="BB39" s="31">
        <v>3212</v>
      </c>
      <c r="BC39" s="31">
        <v>2282</v>
      </c>
      <c r="BD39" s="31">
        <v>2669</v>
      </c>
      <c r="BE39" s="31">
        <v>2483</v>
      </c>
      <c r="BF39" s="31">
        <v>2314</v>
      </c>
      <c r="BH39">
        <f t="shared" si="4"/>
        <v>30681</v>
      </c>
      <c r="BK39" s="2" t="s">
        <v>82</v>
      </c>
      <c r="BL39" s="32">
        <v>40</v>
      </c>
      <c r="BM39" s="32">
        <v>36</v>
      </c>
      <c r="BN39" s="32">
        <v>39</v>
      </c>
      <c r="BO39" s="32">
        <v>25</v>
      </c>
      <c r="BP39" s="31">
        <v>188</v>
      </c>
      <c r="BR39">
        <f t="shared" si="5"/>
        <v>328</v>
      </c>
    </row>
    <row r="40" spans="1:70" ht="12.75">
      <c r="A40" s="6" t="s">
        <v>75</v>
      </c>
      <c r="B40" s="36">
        <v>10645</v>
      </c>
      <c r="C40" s="36">
        <v>1904</v>
      </c>
      <c r="D40" s="45"/>
      <c r="E40" s="45"/>
      <c r="F40" t="s">
        <v>75</v>
      </c>
      <c r="G40" s="46">
        <v>9420</v>
      </c>
      <c r="H40" s="46">
        <v>1975</v>
      </c>
      <c r="J40" s="46">
        <v>20065</v>
      </c>
      <c r="K40" s="46">
        <v>3879</v>
      </c>
      <c r="M40" t="s">
        <v>75</v>
      </c>
      <c r="N40">
        <v>1200</v>
      </c>
      <c r="O40">
        <v>2957</v>
      </c>
      <c r="P40">
        <v>3333</v>
      </c>
      <c r="Q40">
        <v>3351</v>
      </c>
      <c r="R40">
        <v>3471</v>
      </c>
      <c r="S40">
        <v>2903</v>
      </c>
      <c r="T40">
        <v>2907</v>
      </c>
      <c r="U40">
        <v>2669</v>
      </c>
      <c r="V40">
        <v>2911</v>
      </c>
      <c r="X40" s="43">
        <f t="shared" si="6"/>
        <v>25702</v>
      </c>
      <c r="Z40">
        <f t="shared" si="7"/>
        <v>36347</v>
      </c>
      <c r="AC40" t="s">
        <v>75</v>
      </c>
      <c r="AD40">
        <v>618</v>
      </c>
      <c r="AE40">
        <v>1572</v>
      </c>
      <c r="AF40">
        <v>1355</v>
      </c>
      <c r="AG40">
        <v>1471</v>
      </c>
      <c r="AH40">
        <v>1773</v>
      </c>
      <c r="AI40">
        <v>1573</v>
      </c>
      <c r="AJ40" s="43">
        <v>1522</v>
      </c>
      <c r="AK40" s="43">
        <v>1592</v>
      </c>
      <c r="AL40" s="43">
        <v>1365</v>
      </c>
      <c r="AM40" s="43"/>
      <c r="AN40">
        <f t="shared" si="3"/>
        <v>12841</v>
      </c>
      <c r="AP40">
        <f t="shared" si="2"/>
        <v>14745</v>
      </c>
      <c r="AS40" s="6" t="s">
        <v>83</v>
      </c>
      <c r="AT40" s="31">
        <v>7470</v>
      </c>
      <c r="AU40" s="31">
        <v>6629</v>
      </c>
      <c r="AV40" s="31">
        <v>8242</v>
      </c>
      <c r="AW40" s="31">
        <v>3588</v>
      </c>
      <c r="AX40">
        <v>2641</v>
      </c>
      <c r="AY40" s="36">
        <v>5989</v>
      </c>
      <c r="AZ40" s="36">
        <v>6070</v>
      </c>
      <c r="BA40" s="36">
        <v>6190</v>
      </c>
      <c r="BB40" s="36">
        <v>7930</v>
      </c>
      <c r="BC40" s="36">
        <v>6772</v>
      </c>
      <c r="BD40" s="36">
        <v>6737</v>
      </c>
      <c r="BE40" s="36">
        <v>6741</v>
      </c>
      <c r="BF40" s="36">
        <v>6353</v>
      </c>
      <c r="BH40">
        <f t="shared" si="4"/>
        <v>81352</v>
      </c>
      <c r="BK40" s="8" t="s">
        <v>83</v>
      </c>
      <c r="BL40" s="31">
        <v>144</v>
      </c>
      <c r="BM40" s="31">
        <v>104</v>
      </c>
      <c r="BN40" s="31">
        <v>137</v>
      </c>
      <c r="BO40" s="31">
        <v>81</v>
      </c>
      <c r="BP40" s="36">
        <v>601</v>
      </c>
      <c r="BR40">
        <f t="shared" si="5"/>
        <v>1067</v>
      </c>
    </row>
    <row r="41" spans="1:70" ht="12.75">
      <c r="A41" s="6" t="s">
        <v>76</v>
      </c>
      <c r="B41" s="36">
        <v>60317</v>
      </c>
      <c r="C41" s="36">
        <v>4394</v>
      </c>
      <c r="D41" s="45"/>
      <c r="E41" s="45"/>
      <c r="F41" t="s">
        <v>76</v>
      </c>
      <c r="G41" s="46">
        <v>49799</v>
      </c>
      <c r="H41" s="46">
        <v>6335</v>
      </c>
      <c r="J41" s="46">
        <v>110116</v>
      </c>
      <c r="K41" s="46">
        <v>10729</v>
      </c>
      <c r="M41" t="s">
        <v>76</v>
      </c>
      <c r="N41">
        <v>7421</v>
      </c>
      <c r="O41">
        <v>14651</v>
      </c>
      <c r="P41">
        <v>18121</v>
      </c>
      <c r="Q41">
        <v>18492</v>
      </c>
      <c r="R41">
        <v>18189</v>
      </c>
      <c r="S41">
        <v>16683</v>
      </c>
      <c r="T41">
        <v>17683</v>
      </c>
      <c r="U41">
        <v>16252</v>
      </c>
      <c r="V41">
        <v>14352</v>
      </c>
      <c r="X41" s="43">
        <f t="shared" si="6"/>
        <v>141844</v>
      </c>
      <c r="Z41">
        <f t="shared" si="7"/>
        <v>202161</v>
      </c>
      <c r="AC41" t="s">
        <v>76</v>
      </c>
      <c r="AD41">
        <v>2078</v>
      </c>
      <c r="AE41">
        <v>4654</v>
      </c>
      <c r="AF41">
        <v>4986</v>
      </c>
      <c r="AG41">
        <v>5360</v>
      </c>
      <c r="AH41">
        <v>6146</v>
      </c>
      <c r="AI41">
        <v>5960</v>
      </c>
      <c r="AJ41" s="43">
        <v>5957</v>
      </c>
      <c r="AK41" s="43">
        <v>5417</v>
      </c>
      <c r="AL41" s="43">
        <v>4545</v>
      </c>
      <c r="AM41" s="43"/>
      <c r="AN41">
        <f t="shared" si="3"/>
        <v>45103</v>
      </c>
      <c r="AP41">
        <f t="shared" si="2"/>
        <v>49497</v>
      </c>
      <c r="AS41" s="6" t="s">
        <v>84</v>
      </c>
      <c r="AT41" s="36">
        <v>14200</v>
      </c>
      <c r="AU41" s="36">
        <v>11999</v>
      </c>
      <c r="AV41" s="36">
        <v>13807</v>
      </c>
      <c r="AW41" s="36">
        <v>6141</v>
      </c>
      <c r="AX41">
        <v>3864</v>
      </c>
      <c r="AY41" s="36">
        <v>10213</v>
      </c>
      <c r="AZ41" s="36">
        <v>10437</v>
      </c>
      <c r="BA41" s="36">
        <v>10942</v>
      </c>
      <c r="BB41" s="36">
        <v>13231</v>
      </c>
      <c r="BC41" s="36">
        <v>10268</v>
      </c>
      <c r="BD41" s="36">
        <v>11378</v>
      </c>
      <c r="BE41" s="36">
        <v>11796</v>
      </c>
      <c r="BF41" s="36">
        <v>10002</v>
      </c>
      <c r="BH41">
        <f t="shared" si="4"/>
        <v>138278</v>
      </c>
      <c r="BK41" s="6" t="s">
        <v>84</v>
      </c>
      <c r="BL41" s="36">
        <v>202</v>
      </c>
      <c r="BM41" s="36">
        <v>189</v>
      </c>
      <c r="BN41" s="36">
        <v>216</v>
      </c>
      <c r="BO41" s="36">
        <v>83</v>
      </c>
      <c r="BP41" s="36">
        <v>840</v>
      </c>
      <c r="BR41">
        <f t="shared" si="5"/>
        <v>1530</v>
      </c>
    </row>
    <row r="42" spans="1:70" ht="12.75">
      <c r="A42" s="6" t="s">
        <v>96</v>
      </c>
      <c r="B42" s="36">
        <v>20222</v>
      </c>
      <c r="C42" s="36">
        <v>1642</v>
      </c>
      <c r="D42" s="45"/>
      <c r="E42" s="45"/>
      <c r="F42" t="s">
        <v>96</v>
      </c>
      <c r="G42" s="46">
        <v>16751</v>
      </c>
      <c r="H42" s="46">
        <v>3007</v>
      </c>
      <c r="J42" s="46">
        <v>36973</v>
      </c>
      <c r="K42" s="46">
        <v>4649</v>
      </c>
      <c r="M42" t="s">
        <v>96</v>
      </c>
      <c r="N42">
        <v>2364</v>
      </c>
      <c r="O42">
        <v>5299</v>
      </c>
      <c r="P42">
        <v>6713</v>
      </c>
      <c r="Q42">
        <v>7340</v>
      </c>
      <c r="R42">
        <v>6218</v>
      </c>
      <c r="S42">
        <v>5158</v>
      </c>
      <c r="T42">
        <v>5802</v>
      </c>
      <c r="U42">
        <v>5571</v>
      </c>
      <c r="V42">
        <v>5201</v>
      </c>
      <c r="X42" s="43">
        <f t="shared" si="6"/>
        <v>49666</v>
      </c>
      <c r="Z42">
        <f t="shared" si="7"/>
        <v>69888</v>
      </c>
      <c r="AC42" t="s">
        <v>96</v>
      </c>
      <c r="AD42">
        <v>1004</v>
      </c>
      <c r="AE42">
        <v>2178</v>
      </c>
      <c r="AF42">
        <v>2405</v>
      </c>
      <c r="AG42">
        <v>2277</v>
      </c>
      <c r="AH42">
        <v>2431</v>
      </c>
      <c r="AI42">
        <v>1951</v>
      </c>
      <c r="AJ42" s="43">
        <v>2577</v>
      </c>
      <c r="AK42" s="43">
        <v>2432</v>
      </c>
      <c r="AL42" s="43">
        <v>2156</v>
      </c>
      <c r="AM42" s="43"/>
      <c r="AN42">
        <f t="shared" si="3"/>
        <v>19411</v>
      </c>
      <c r="AP42">
        <f t="shared" si="2"/>
        <v>21053</v>
      </c>
      <c r="AS42" s="8" t="s">
        <v>85</v>
      </c>
      <c r="AT42" s="36">
        <v>12869</v>
      </c>
      <c r="AU42" s="36">
        <v>10859</v>
      </c>
      <c r="AV42" s="36">
        <v>12051</v>
      </c>
      <c r="AW42" s="36">
        <v>5207</v>
      </c>
      <c r="AX42">
        <v>3040</v>
      </c>
      <c r="AY42" s="31">
        <v>10844</v>
      </c>
      <c r="AZ42" s="31">
        <v>9739</v>
      </c>
      <c r="BA42" s="31">
        <v>9555</v>
      </c>
      <c r="BB42" s="31">
        <v>12357</v>
      </c>
      <c r="BC42" s="31">
        <v>9933</v>
      </c>
      <c r="BD42" s="31">
        <v>10480</v>
      </c>
      <c r="BE42" s="31">
        <v>9981</v>
      </c>
      <c r="BF42" s="31">
        <v>9767</v>
      </c>
      <c r="BH42">
        <f t="shared" si="4"/>
        <v>126682</v>
      </c>
      <c r="BK42" s="2" t="s">
        <v>85</v>
      </c>
      <c r="BL42" s="32">
        <v>213</v>
      </c>
      <c r="BM42" s="32">
        <v>156</v>
      </c>
      <c r="BN42" s="32">
        <v>209</v>
      </c>
      <c r="BO42" s="32">
        <v>109</v>
      </c>
      <c r="BP42" s="31">
        <v>1017</v>
      </c>
      <c r="BR42">
        <f t="shared" si="5"/>
        <v>1704</v>
      </c>
    </row>
    <row r="43" spans="1:70" ht="12.75">
      <c r="A43" s="6" t="s">
        <v>77</v>
      </c>
      <c r="B43" s="36">
        <v>86310</v>
      </c>
      <c r="C43" s="36">
        <v>7149</v>
      </c>
      <c r="D43" s="45"/>
      <c r="E43" s="45"/>
      <c r="F43" t="s">
        <v>77</v>
      </c>
      <c r="G43" s="46">
        <v>75589</v>
      </c>
      <c r="H43" s="46">
        <v>7170</v>
      </c>
      <c r="J43" s="46">
        <v>161899</v>
      </c>
      <c r="K43" s="46">
        <v>14319</v>
      </c>
      <c r="M43" t="s">
        <v>77</v>
      </c>
      <c r="N43">
        <v>11895</v>
      </c>
      <c r="O43">
        <v>22411</v>
      </c>
      <c r="P43">
        <v>28437</v>
      </c>
      <c r="Q43">
        <v>27761</v>
      </c>
      <c r="R43">
        <v>24752</v>
      </c>
      <c r="S43">
        <v>21504</v>
      </c>
      <c r="T43">
        <v>24077</v>
      </c>
      <c r="U43">
        <v>24479</v>
      </c>
      <c r="V43">
        <v>21801</v>
      </c>
      <c r="X43" s="43">
        <f t="shared" si="6"/>
        <v>207117</v>
      </c>
      <c r="Z43">
        <f t="shared" si="7"/>
        <v>293427</v>
      </c>
      <c r="AC43" t="s">
        <v>77</v>
      </c>
      <c r="AD43">
        <v>2386</v>
      </c>
      <c r="AE43">
        <v>5310</v>
      </c>
      <c r="AF43">
        <v>5298</v>
      </c>
      <c r="AG43">
        <v>5586</v>
      </c>
      <c r="AH43">
        <v>6259</v>
      </c>
      <c r="AI43">
        <v>5549</v>
      </c>
      <c r="AJ43" s="43">
        <v>5968</v>
      </c>
      <c r="AK43" s="43">
        <v>6251</v>
      </c>
      <c r="AL43" s="43">
        <v>5389</v>
      </c>
      <c r="AM43" s="43"/>
      <c r="AN43">
        <f t="shared" si="3"/>
        <v>47996</v>
      </c>
      <c r="AP43">
        <f t="shared" si="2"/>
        <v>55145</v>
      </c>
      <c r="AS43" s="6" t="s">
        <v>86</v>
      </c>
      <c r="AT43" s="31">
        <v>6665</v>
      </c>
      <c r="AU43" s="31">
        <v>5592</v>
      </c>
      <c r="AV43" s="31">
        <v>6764</v>
      </c>
      <c r="AW43" s="31">
        <v>2954</v>
      </c>
      <c r="AX43">
        <v>2244</v>
      </c>
      <c r="AY43" s="36">
        <v>4928</v>
      </c>
      <c r="AZ43" s="36">
        <v>5171</v>
      </c>
      <c r="BA43" s="36">
        <v>5166</v>
      </c>
      <c r="BB43" s="36">
        <v>6530</v>
      </c>
      <c r="BC43" s="36">
        <v>5430</v>
      </c>
      <c r="BD43" s="36">
        <v>5576</v>
      </c>
      <c r="BE43" s="36">
        <v>5705</v>
      </c>
      <c r="BF43" s="36">
        <v>5331</v>
      </c>
      <c r="BH43">
        <f t="shared" si="4"/>
        <v>68056</v>
      </c>
      <c r="BK43" s="8" t="s">
        <v>86</v>
      </c>
      <c r="BL43" s="31">
        <v>113</v>
      </c>
      <c r="BM43" s="31">
        <v>94</v>
      </c>
      <c r="BN43" s="31">
        <v>101</v>
      </c>
      <c r="BO43" s="31">
        <v>56</v>
      </c>
      <c r="BP43" s="36">
        <v>568</v>
      </c>
      <c r="BR43">
        <f t="shared" si="5"/>
        <v>932</v>
      </c>
    </row>
    <row r="44" spans="1:70" ht="12.75">
      <c r="A44" s="6" t="s">
        <v>78</v>
      </c>
      <c r="B44" s="36">
        <v>4817</v>
      </c>
      <c r="C44" s="36">
        <v>685</v>
      </c>
      <c r="D44" s="45"/>
      <c r="E44" s="45"/>
      <c r="F44" t="s">
        <v>78</v>
      </c>
      <c r="G44" s="46">
        <v>3711</v>
      </c>
      <c r="H44" s="46">
        <v>276</v>
      </c>
      <c r="J44" s="46">
        <v>8528</v>
      </c>
      <c r="K44" s="46">
        <v>961</v>
      </c>
      <c r="M44" t="s">
        <v>78</v>
      </c>
      <c r="N44">
        <v>455</v>
      </c>
      <c r="O44">
        <v>950</v>
      </c>
      <c r="P44">
        <v>994</v>
      </c>
      <c r="Q44">
        <v>864</v>
      </c>
      <c r="R44">
        <v>937</v>
      </c>
      <c r="S44">
        <v>1032</v>
      </c>
      <c r="T44">
        <v>1380</v>
      </c>
      <c r="U44">
        <v>1473</v>
      </c>
      <c r="V44">
        <v>1440</v>
      </c>
      <c r="X44" s="43">
        <f t="shared" si="6"/>
        <v>9525</v>
      </c>
      <c r="Z44">
        <f t="shared" si="7"/>
        <v>14342</v>
      </c>
      <c r="AC44" t="s">
        <v>78</v>
      </c>
      <c r="AD44">
        <v>134</v>
      </c>
      <c r="AE44">
        <v>208</v>
      </c>
      <c r="AF44">
        <v>247</v>
      </c>
      <c r="AG44">
        <v>147</v>
      </c>
      <c r="AH44">
        <v>166</v>
      </c>
      <c r="AI44">
        <v>185</v>
      </c>
      <c r="AJ44" s="43">
        <v>356</v>
      </c>
      <c r="AK44" s="43">
        <v>342</v>
      </c>
      <c r="AL44" s="43">
        <v>233</v>
      </c>
      <c r="AM44" s="43"/>
      <c r="AN44">
        <f t="shared" si="3"/>
        <v>2018</v>
      </c>
      <c r="AP44">
        <f t="shared" si="2"/>
        <v>2703</v>
      </c>
      <c r="AS44" s="6" t="s">
        <v>87</v>
      </c>
      <c r="AT44" s="36">
        <v>2911</v>
      </c>
      <c r="AU44" s="36">
        <v>2577</v>
      </c>
      <c r="AV44" s="36">
        <v>3502</v>
      </c>
      <c r="AW44" s="36">
        <v>1361</v>
      </c>
      <c r="AX44">
        <v>1050</v>
      </c>
      <c r="AY44" s="36">
        <v>2225</v>
      </c>
      <c r="AZ44" s="36">
        <v>2343</v>
      </c>
      <c r="BA44" s="36">
        <v>2584</v>
      </c>
      <c r="BB44" s="36">
        <v>3399</v>
      </c>
      <c r="BC44" s="36">
        <v>2786</v>
      </c>
      <c r="BD44" s="36">
        <v>2697</v>
      </c>
      <c r="BE44" s="36">
        <v>2628</v>
      </c>
      <c r="BF44" s="36">
        <v>3162</v>
      </c>
      <c r="BH44">
        <f t="shared" si="4"/>
        <v>33225</v>
      </c>
      <c r="BK44" s="6" t="s">
        <v>87</v>
      </c>
      <c r="BL44" s="36">
        <v>51</v>
      </c>
      <c r="BM44" s="36">
        <v>49</v>
      </c>
      <c r="BN44" s="36">
        <v>58</v>
      </c>
      <c r="BO44" s="36">
        <v>23</v>
      </c>
      <c r="BP44" s="36">
        <v>233</v>
      </c>
      <c r="BR44">
        <f t="shared" si="5"/>
        <v>414</v>
      </c>
    </row>
    <row r="45" spans="1:70" ht="12.75">
      <c r="A45" s="6" t="s">
        <v>79</v>
      </c>
      <c r="B45" s="36">
        <v>453</v>
      </c>
      <c r="C45" s="36">
        <v>6227</v>
      </c>
      <c r="D45" s="45"/>
      <c r="E45" s="45"/>
      <c r="F45" t="s">
        <v>79</v>
      </c>
      <c r="G45" s="46">
        <v>977</v>
      </c>
      <c r="H45" s="46">
        <v>284</v>
      </c>
      <c r="J45" s="46">
        <v>1430</v>
      </c>
      <c r="K45" s="46">
        <v>6511</v>
      </c>
      <c r="M45" t="s">
        <v>79</v>
      </c>
      <c r="N45">
        <v>174</v>
      </c>
      <c r="O45">
        <v>464</v>
      </c>
      <c r="P45">
        <v>320</v>
      </c>
      <c r="Q45">
        <v>216</v>
      </c>
      <c r="R45">
        <v>286</v>
      </c>
      <c r="S45">
        <v>217</v>
      </c>
      <c r="T45">
        <v>254</v>
      </c>
      <c r="U45">
        <v>219</v>
      </c>
      <c r="V45">
        <v>181</v>
      </c>
      <c r="X45" s="43">
        <f t="shared" si="6"/>
        <v>2331</v>
      </c>
      <c r="Z45">
        <f t="shared" si="7"/>
        <v>2784</v>
      </c>
      <c r="AC45" t="s">
        <v>79</v>
      </c>
      <c r="AD45">
        <v>159</v>
      </c>
      <c r="AE45">
        <v>220</v>
      </c>
      <c r="AF45">
        <v>345</v>
      </c>
      <c r="AG45">
        <v>185</v>
      </c>
      <c r="AH45">
        <v>147</v>
      </c>
      <c r="AI45">
        <v>167</v>
      </c>
      <c r="AJ45" s="43">
        <v>194</v>
      </c>
      <c r="AK45" s="43">
        <v>223</v>
      </c>
      <c r="AL45" s="43">
        <v>135</v>
      </c>
      <c r="AM45" s="43"/>
      <c r="AN45">
        <f t="shared" si="3"/>
        <v>1775</v>
      </c>
      <c r="AP45">
        <f t="shared" si="2"/>
        <v>8002</v>
      </c>
      <c r="AS45" s="8" t="s">
        <v>97</v>
      </c>
      <c r="AT45" s="36">
        <v>445</v>
      </c>
      <c r="AU45" s="36">
        <v>504</v>
      </c>
      <c r="AV45" s="36">
        <v>433</v>
      </c>
      <c r="AW45" s="36">
        <v>196</v>
      </c>
      <c r="AX45">
        <v>138</v>
      </c>
      <c r="AY45" s="31">
        <v>398</v>
      </c>
      <c r="AZ45" s="31">
        <v>417</v>
      </c>
      <c r="BA45" s="31">
        <v>411</v>
      </c>
      <c r="BB45" s="31">
        <v>546</v>
      </c>
      <c r="BC45" s="31">
        <v>496</v>
      </c>
      <c r="BD45" s="31">
        <v>325</v>
      </c>
      <c r="BE45" s="31">
        <v>464</v>
      </c>
      <c r="BF45" s="31">
        <v>442</v>
      </c>
      <c r="BH45">
        <f t="shared" si="4"/>
        <v>5215</v>
      </c>
      <c r="BK45" s="6" t="s">
        <v>97</v>
      </c>
      <c r="BL45" s="36">
        <v>13</v>
      </c>
      <c r="BM45" s="36">
        <v>6</v>
      </c>
      <c r="BN45" s="36">
        <v>8</v>
      </c>
      <c r="BO45" s="36">
        <v>8</v>
      </c>
      <c r="BP45" s="31">
        <v>28</v>
      </c>
      <c r="BR45">
        <f t="shared" si="5"/>
        <v>63</v>
      </c>
    </row>
    <row r="46" spans="1:70" ht="12.75">
      <c r="A46" s="6" t="s">
        <v>80</v>
      </c>
      <c r="B46" s="36">
        <v>166</v>
      </c>
      <c r="C46" s="36">
        <v>58</v>
      </c>
      <c r="D46" s="45"/>
      <c r="E46" s="45"/>
      <c r="F46" t="s">
        <v>80</v>
      </c>
      <c r="G46" s="46">
        <v>2</v>
      </c>
      <c r="J46" s="46">
        <v>168</v>
      </c>
      <c r="K46" s="46">
        <v>58</v>
      </c>
      <c r="M46" t="s">
        <v>80</v>
      </c>
      <c r="P46">
        <v>0</v>
      </c>
      <c r="Q46">
        <v>3</v>
      </c>
      <c r="S46">
        <v>5</v>
      </c>
      <c r="T46">
        <v>23</v>
      </c>
      <c r="U46">
        <v>14</v>
      </c>
      <c r="V46">
        <v>7</v>
      </c>
      <c r="X46" s="43">
        <f t="shared" si="6"/>
        <v>52</v>
      </c>
      <c r="Z46">
        <f t="shared" si="7"/>
        <v>218</v>
      </c>
      <c r="AC46" t="s">
        <v>80</v>
      </c>
      <c r="AD46">
        <v>1</v>
      </c>
      <c r="AE46">
        <v>0</v>
      </c>
      <c r="AF46">
        <v>0</v>
      </c>
      <c r="AG46">
        <v>4</v>
      </c>
      <c r="AK46">
        <v>2</v>
      </c>
      <c r="AN46">
        <f t="shared" si="3"/>
        <v>7</v>
      </c>
      <c r="AP46">
        <f t="shared" si="2"/>
        <v>65</v>
      </c>
      <c r="AS46" s="6" t="s">
        <v>88</v>
      </c>
      <c r="AT46" s="31">
        <v>918</v>
      </c>
      <c r="AU46" s="31">
        <v>655</v>
      </c>
      <c r="AV46" s="31">
        <v>797</v>
      </c>
      <c r="AW46" s="31">
        <v>425</v>
      </c>
      <c r="AX46">
        <v>188</v>
      </c>
      <c r="AY46" s="36">
        <v>539</v>
      </c>
      <c r="AZ46" s="36">
        <v>296</v>
      </c>
      <c r="BA46" s="36">
        <v>292</v>
      </c>
      <c r="BB46" s="36">
        <v>378</v>
      </c>
      <c r="BC46" s="36">
        <v>467</v>
      </c>
      <c r="BD46" s="36">
        <v>561</v>
      </c>
      <c r="BE46" s="36">
        <v>500</v>
      </c>
      <c r="BF46" s="36">
        <v>411</v>
      </c>
      <c r="BH46">
        <f t="shared" si="4"/>
        <v>6427</v>
      </c>
      <c r="BK46" s="8" t="s">
        <v>88</v>
      </c>
      <c r="BL46" s="31">
        <v>12</v>
      </c>
      <c r="BM46" s="31">
        <v>14</v>
      </c>
      <c r="BN46" s="31">
        <v>7</v>
      </c>
      <c r="BO46" s="31">
        <v>3</v>
      </c>
      <c r="BP46" s="36">
        <v>25</v>
      </c>
      <c r="BR46">
        <f t="shared" si="5"/>
        <v>61</v>
      </c>
    </row>
    <row r="47" spans="1:70" ht="12.75">
      <c r="A47" s="6" t="s">
        <v>54</v>
      </c>
      <c r="B47" s="36">
        <v>303207</v>
      </c>
      <c r="C47" s="36">
        <v>15632</v>
      </c>
      <c r="D47" s="45"/>
      <c r="E47" s="45"/>
      <c r="F47" t="s">
        <v>54</v>
      </c>
      <c r="G47" s="46">
        <v>199807</v>
      </c>
      <c r="H47" s="46">
        <v>27969</v>
      </c>
      <c r="J47" s="46">
        <v>503014</v>
      </c>
      <c r="K47" s="46">
        <v>43601</v>
      </c>
      <c r="M47" t="s">
        <v>54</v>
      </c>
      <c r="N47">
        <v>38086</v>
      </c>
      <c r="O47">
        <v>77379</v>
      </c>
      <c r="P47">
        <v>88147</v>
      </c>
      <c r="Q47">
        <v>87419</v>
      </c>
      <c r="R47">
        <v>86503</v>
      </c>
      <c r="S47">
        <v>77507</v>
      </c>
      <c r="T47">
        <v>77244</v>
      </c>
      <c r="U47">
        <v>79722</v>
      </c>
      <c r="V47">
        <v>77815</v>
      </c>
      <c r="X47" s="43">
        <f t="shared" si="6"/>
        <v>689822</v>
      </c>
      <c r="Z47">
        <f t="shared" si="7"/>
        <v>993029</v>
      </c>
      <c r="AC47" t="s">
        <v>54</v>
      </c>
      <c r="AD47">
        <v>8514</v>
      </c>
      <c r="AE47">
        <v>22490</v>
      </c>
      <c r="AF47">
        <v>22863</v>
      </c>
      <c r="AG47">
        <v>22114</v>
      </c>
      <c r="AH47">
        <v>25694</v>
      </c>
      <c r="AI47">
        <v>23371</v>
      </c>
      <c r="AJ47" s="43">
        <v>24246</v>
      </c>
      <c r="AK47" s="43">
        <v>26009</v>
      </c>
      <c r="AL47" s="43">
        <v>24550</v>
      </c>
      <c r="AM47" s="43"/>
      <c r="AN47">
        <f t="shared" si="3"/>
        <v>199851</v>
      </c>
      <c r="AP47">
        <f t="shared" si="2"/>
        <v>215483</v>
      </c>
      <c r="AS47" s="6" t="s">
        <v>89</v>
      </c>
      <c r="AT47" s="36">
        <v>0</v>
      </c>
      <c r="AU47" s="36">
        <v>0</v>
      </c>
      <c r="AV47" s="36">
        <v>0</v>
      </c>
      <c r="AZ47" s="36">
        <v>0</v>
      </c>
      <c r="BA47" s="54">
        <v>0</v>
      </c>
      <c r="BB47" s="54">
        <v>0</v>
      </c>
      <c r="BC47" s="54">
        <v>0</v>
      </c>
      <c r="BD47" s="54">
        <v>0</v>
      </c>
      <c r="BE47" s="54">
        <v>0</v>
      </c>
      <c r="BF47" s="54">
        <v>0</v>
      </c>
      <c r="BH47">
        <f t="shared" si="4"/>
        <v>0</v>
      </c>
      <c r="BK47" s="6" t="s">
        <v>89</v>
      </c>
      <c r="BL47" s="36">
        <v>0</v>
      </c>
      <c r="BM47" s="36">
        <v>0</v>
      </c>
      <c r="BN47" s="36">
        <v>0</v>
      </c>
      <c r="BO47" s="36">
        <v>0</v>
      </c>
      <c r="BP47" s="36">
        <v>16</v>
      </c>
      <c r="BR47">
        <f t="shared" si="5"/>
        <v>16</v>
      </c>
    </row>
    <row r="48" spans="1:68" ht="12.75">
      <c r="A48" s="6" t="s">
        <v>81</v>
      </c>
      <c r="B48" s="36">
        <v>30278</v>
      </c>
      <c r="C48" s="36">
        <v>1812</v>
      </c>
      <c r="D48" s="45"/>
      <c r="E48" s="45"/>
      <c r="F48" t="s">
        <v>81</v>
      </c>
      <c r="G48" s="46">
        <v>25515</v>
      </c>
      <c r="H48" s="46">
        <v>3356</v>
      </c>
      <c r="J48" s="46">
        <v>55793</v>
      </c>
      <c r="K48" s="46">
        <v>5168</v>
      </c>
      <c r="M48" t="s">
        <v>81</v>
      </c>
      <c r="N48">
        <v>4349</v>
      </c>
      <c r="O48">
        <v>8162</v>
      </c>
      <c r="P48">
        <v>8887</v>
      </c>
      <c r="Q48">
        <v>8677</v>
      </c>
      <c r="R48">
        <v>9199</v>
      </c>
      <c r="S48">
        <v>8283</v>
      </c>
      <c r="T48">
        <v>8291</v>
      </c>
      <c r="U48">
        <v>8117</v>
      </c>
      <c r="V48">
        <v>8033</v>
      </c>
      <c r="X48" s="43">
        <f t="shared" si="6"/>
        <v>71998</v>
      </c>
      <c r="Z48">
        <f t="shared" si="7"/>
        <v>102276</v>
      </c>
      <c r="AC48" t="s">
        <v>81</v>
      </c>
      <c r="AD48">
        <v>1171</v>
      </c>
      <c r="AE48">
        <v>2478</v>
      </c>
      <c r="AF48">
        <v>2547</v>
      </c>
      <c r="AG48">
        <v>2398</v>
      </c>
      <c r="AH48">
        <v>3045</v>
      </c>
      <c r="AI48">
        <v>2735</v>
      </c>
      <c r="AJ48" s="43">
        <v>2841</v>
      </c>
      <c r="AK48" s="43">
        <v>3033</v>
      </c>
      <c r="AL48" s="43">
        <v>2737</v>
      </c>
      <c r="AM48" s="43"/>
      <c r="AN48">
        <f t="shared" si="3"/>
        <v>22985</v>
      </c>
      <c r="AP48">
        <f t="shared" si="2"/>
        <v>24797</v>
      </c>
      <c r="BK48" s="11" t="s">
        <v>59</v>
      </c>
      <c r="BL48" s="11" t="s">
        <v>59</v>
      </c>
      <c r="BM48" s="11" t="s">
        <v>59</v>
      </c>
      <c r="BN48" s="11" t="s">
        <v>59</v>
      </c>
      <c r="BO48" s="11" t="s">
        <v>59</v>
      </c>
      <c r="BP48" s="11" t="s">
        <v>59</v>
      </c>
    </row>
    <row r="49" spans="1:68" ht="12.75">
      <c r="A49" s="6" t="s">
        <v>82</v>
      </c>
      <c r="B49" s="36">
        <v>40419</v>
      </c>
      <c r="C49" s="36">
        <v>2962</v>
      </c>
      <c r="D49" s="45"/>
      <c r="E49" s="45"/>
      <c r="F49" t="s">
        <v>82</v>
      </c>
      <c r="G49" s="46">
        <v>33674</v>
      </c>
      <c r="H49" s="46">
        <v>3897</v>
      </c>
      <c r="J49" s="46">
        <v>74093</v>
      </c>
      <c r="K49" s="46">
        <v>6859</v>
      </c>
      <c r="M49" t="s">
        <v>82</v>
      </c>
      <c r="N49">
        <v>5607</v>
      </c>
      <c r="O49">
        <v>10153</v>
      </c>
      <c r="P49">
        <v>12166</v>
      </c>
      <c r="Q49">
        <v>12528</v>
      </c>
      <c r="R49">
        <v>13874</v>
      </c>
      <c r="S49">
        <v>11003</v>
      </c>
      <c r="T49">
        <v>11422</v>
      </c>
      <c r="U49">
        <v>11298</v>
      </c>
      <c r="V49">
        <v>10861</v>
      </c>
      <c r="X49" s="43">
        <f t="shared" si="6"/>
        <v>98912</v>
      </c>
      <c r="Z49">
        <f t="shared" si="7"/>
        <v>139331</v>
      </c>
      <c r="AC49" t="s">
        <v>82</v>
      </c>
      <c r="AD49">
        <v>1414</v>
      </c>
      <c r="AE49">
        <v>2770</v>
      </c>
      <c r="AF49">
        <v>2813</v>
      </c>
      <c r="AG49">
        <v>3180</v>
      </c>
      <c r="AH49">
        <v>3823</v>
      </c>
      <c r="AI49">
        <v>3086</v>
      </c>
      <c r="AJ49" s="43">
        <v>3457</v>
      </c>
      <c r="AK49" s="43">
        <v>3402</v>
      </c>
      <c r="AL49" s="43">
        <v>2964</v>
      </c>
      <c r="AM49" s="43"/>
      <c r="AN49">
        <f t="shared" si="3"/>
        <v>26909</v>
      </c>
      <c r="AP49">
        <f t="shared" si="2"/>
        <v>29871</v>
      </c>
      <c r="AS49" s="8" t="s">
        <v>40</v>
      </c>
      <c r="AT49" s="31">
        <v>16794</v>
      </c>
      <c r="AU49" s="31">
        <v>14532</v>
      </c>
      <c r="AV49" s="31">
        <v>17087</v>
      </c>
      <c r="AW49" s="31">
        <v>7289</v>
      </c>
      <c r="AX49">
        <v>5014</v>
      </c>
      <c r="AY49">
        <v>13984</v>
      </c>
      <c r="AZ49" s="31">
        <v>14475</v>
      </c>
      <c r="BA49" s="31">
        <v>13664</v>
      </c>
      <c r="BB49" s="31">
        <v>16118</v>
      </c>
      <c r="BC49" s="31">
        <v>14945</v>
      </c>
      <c r="BD49" s="31">
        <v>14393</v>
      </c>
      <c r="BE49" s="31">
        <v>5753</v>
      </c>
      <c r="BF49" s="31">
        <v>83</v>
      </c>
      <c r="BH49">
        <f t="shared" si="4"/>
        <v>154131</v>
      </c>
      <c r="BK49" s="2"/>
      <c r="BL49" s="6"/>
      <c r="BM49" s="6"/>
      <c r="BN49" s="6"/>
      <c r="BO49" s="6"/>
      <c r="BP49" s="6"/>
    </row>
    <row r="50" spans="1:68" ht="12.75">
      <c r="A50" s="6" t="s">
        <v>56</v>
      </c>
      <c r="B50" s="36">
        <v>70124</v>
      </c>
      <c r="C50" s="36">
        <v>4318</v>
      </c>
      <c r="D50" s="45"/>
      <c r="E50" s="45"/>
      <c r="F50" t="s">
        <v>56</v>
      </c>
      <c r="G50" s="46">
        <v>50970</v>
      </c>
      <c r="H50" s="46">
        <v>6999</v>
      </c>
      <c r="J50" s="46">
        <v>121094</v>
      </c>
      <c r="K50" s="46">
        <v>11317</v>
      </c>
      <c r="M50" t="s">
        <v>56</v>
      </c>
      <c r="N50">
        <v>10320</v>
      </c>
      <c r="O50">
        <v>19182</v>
      </c>
      <c r="P50">
        <v>20085</v>
      </c>
      <c r="Q50">
        <v>19599</v>
      </c>
      <c r="R50">
        <v>20538</v>
      </c>
      <c r="S50">
        <v>18156</v>
      </c>
      <c r="T50">
        <v>18749</v>
      </c>
      <c r="U50">
        <v>19190</v>
      </c>
      <c r="V50">
        <v>19641</v>
      </c>
      <c r="X50" s="43">
        <f t="shared" si="6"/>
        <v>165460</v>
      </c>
      <c r="Z50">
        <f t="shared" si="7"/>
        <v>235584</v>
      </c>
      <c r="AC50" t="s">
        <v>56</v>
      </c>
      <c r="AD50">
        <v>2335</v>
      </c>
      <c r="AE50">
        <v>5353</v>
      </c>
      <c r="AF50">
        <v>5599</v>
      </c>
      <c r="AG50">
        <v>5607</v>
      </c>
      <c r="AH50">
        <v>6478</v>
      </c>
      <c r="AI50">
        <v>5697</v>
      </c>
      <c r="AJ50" s="43">
        <v>6125</v>
      </c>
      <c r="AK50" s="43">
        <v>6258</v>
      </c>
      <c r="AL50" s="43">
        <v>5929</v>
      </c>
      <c r="AM50" s="43"/>
      <c r="AN50">
        <f t="shared" si="3"/>
        <v>49381</v>
      </c>
      <c r="AP50">
        <f t="shared" si="2"/>
        <v>53699</v>
      </c>
      <c r="AS50" s="53" t="s">
        <v>127</v>
      </c>
      <c r="BE50" s="36">
        <v>892</v>
      </c>
      <c r="BF50" s="36">
        <v>8865</v>
      </c>
      <c r="BH50">
        <f t="shared" si="4"/>
        <v>9757</v>
      </c>
      <c r="BK50" s="2"/>
      <c r="BL50" s="2"/>
      <c r="BM50" s="2"/>
      <c r="BN50" s="2"/>
      <c r="BO50" s="2"/>
      <c r="BP50" s="2"/>
    </row>
    <row r="51" spans="1:70" ht="12.75">
      <c r="A51" s="6" t="s">
        <v>83</v>
      </c>
      <c r="B51" s="36">
        <v>79923</v>
      </c>
      <c r="C51" s="36">
        <v>5536</v>
      </c>
      <c r="D51" s="45"/>
      <c r="E51" s="45"/>
      <c r="F51" t="s">
        <v>83</v>
      </c>
      <c r="G51" s="46">
        <v>63561</v>
      </c>
      <c r="H51" s="46">
        <v>9985</v>
      </c>
      <c r="J51" s="46">
        <v>143484</v>
      </c>
      <c r="K51" s="46">
        <v>15521</v>
      </c>
      <c r="M51" t="s">
        <v>83</v>
      </c>
      <c r="N51">
        <v>11169</v>
      </c>
      <c r="O51">
        <v>20977</v>
      </c>
      <c r="P51">
        <v>26900</v>
      </c>
      <c r="Q51">
        <v>25730</v>
      </c>
      <c r="R51">
        <v>26482</v>
      </c>
      <c r="S51">
        <v>21788</v>
      </c>
      <c r="T51">
        <v>21992</v>
      </c>
      <c r="U51">
        <v>22634</v>
      </c>
      <c r="V51">
        <v>20965</v>
      </c>
      <c r="X51" s="43">
        <f t="shared" si="6"/>
        <v>198637</v>
      </c>
      <c r="Z51">
        <f t="shared" si="7"/>
        <v>278560</v>
      </c>
      <c r="AC51" t="s">
        <v>83</v>
      </c>
      <c r="AD51">
        <v>3493</v>
      </c>
      <c r="AE51">
        <v>7520</v>
      </c>
      <c r="AF51">
        <v>7749</v>
      </c>
      <c r="AG51">
        <v>8380</v>
      </c>
      <c r="AH51">
        <v>9764</v>
      </c>
      <c r="AI51">
        <v>8585</v>
      </c>
      <c r="AJ51" s="43">
        <v>8854</v>
      </c>
      <c r="AK51" s="43">
        <v>9583</v>
      </c>
      <c r="AL51" s="43">
        <v>8308</v>
      </c>
      <c r="AM51" s="43"/>
      <c r="AN51">
        <f t="shared" si="3"/>
        <v>72236</v>
      </c>
      <c r="AP51">
        <f t="shared" si="2"/>
        <v>77772</v>
      </c>
      <c r="AS51" s="2" t="s">
        <v>42</v>
      </c>
      <c r="AT51" s="36">
        <v>13625</v>
      </c>
      <c r="AU51" s="36">
        <v>11556</v>
      </c>
      <c r="AV51" s="36">
        <v>12940</v>
      </c>
      <c r="AW51" s="36">
        <v>5807</v>
      </c>
      <c r="AX51">
        <v>4273</v>
      </c>
      <c r="AY51" s="36">
        <v>9913</v>
      </c>
      <c r="AZ51" s="36">
        <v>10146</v>
      </c>
      <c r="BA51" s="36">
        <v>10244</v>
      </c>
      <c r="BB51" s="36">
        <v>12714</v>
      </c>
      <c r="BC51" s="36">
        <v>11203</v>
      </c>
      <c r="BD51" s="36">
        <v>10314</v>
      </c>
      <c r="BE51" s="36">
        <v>10829</v>
      </c>
      <c r="BF51" s="36">
        <v>10398</v>
      </c>
      <c r="BH51">
        <f t="shared" si="4"/>
        <v>133962</v>
      </c>
      <c r="BK51" s="8" t="s">
        <v>40</v>
      </c>
      <c r="BL51" s="31">
        <v>574</v>
      </c>
      <c r="BM51" s="31">
        <v>485</v>
      </c>
      <c r="BN51" s="31">
        <v>540</v>
      </c>
      <c r="BO51" s="31">
        <v>235</v>
      </c>
      <c r="BP51" s="31">
        <v>1848</v>
      </c>
      <c r="BR51">
        <f t="shared" si="5"/>
        <v>3682</v>
      </c>
    </row>
    <row r="52" spans="1:70" ht="12.75">
      <c r="A52" s="6" t="s">
        <v>84</v>
      </c>
      <c r="B52" s="36">
        <v>183134</v>
      </c>
      <c r="C52" s="36">
        <v>10271</v>
      </c>
      <c r="D52" s="45"/>
      <c r="E52" s="45"/>
      <c r="F52" t="s">
        <v>84</v>
      </c>
      <c r="G52" s="46">
        <v>135816</v>
      </c>
      <c r="H52" s="46">
        <v>16414</v>
      </c>
      <c r="J52" s="46">
        <v>318950</v>
      </c>
      <c r="K52" s="46">
        <v>26685</v>
      </c>
      <c r="M52" t="s">
        <v>84</v>
      </c>
      <c r="N52">
        <v>22021</v>
      </c>
      <c r="O52">
        <v>48282</v>
      </c>
      <c r="P52">
        <v>63592</v>
      </c>
      <c r="Q52">
        <v>62151</v>
      </c>
      <c r="R52">
        <v>58527</v>
      </c>
      <c r="S52">
        <v>48257</v>
      </c>
      <c r="T52">
        <v>51034</v>
      </c>
      <c r="U52">
        <v>53251</v>
      </c>
      <c r="V52">
        <v>44675</v>
      </c>
      <c r="X52" s="43">
        <f t="shared" si="6"/>
        <v>451790</v>
      </c>
      <c r="Z52">
        <f t="shared" si="7"/>
        <v>634924</v>
      </c>
      <c r="AC52" t="s">
        <v>84</v>
      </c>
      <c r="AD52">
        <v>5034</v>
      </c>
      <c r="AE52">
        <v>12985</v>
      </c>
      <c r="AF52">
        <v>13615</v>
      </c>
      <c r="AG52">
        <v>14419</v>
      </c>
      <c r="AH52">
        <v>16264</v>
      </c>
      <c r="AI52">
        <v>13492</v>
      </c>
      <c r="AJ52" s="43">
        <v>15536</v>
      </c>
      <c r="AK52" s="43">
        <v>16203</v>
      </c>
      <c r="AL52" s="43">
        <v>12998</v>
      </c>
      <c r="AM52" s="43"/>
      <c r="AN52">
        <f t="shared" si="3"/>
        <v>120546</v>
      </c>
      <c r="AP52">
        <f t="shared" si="2"/>
        <v>130817</v>
      </c>
      <c r="AS52" s="2" t="s">
        <v>44</v>
      </c>
      <c r="AT52" s="36">
        <v>9258</v>
      </c>
      <c r="AU52" s="36">
        <v>7678</v>
      </c>
      <c r="AV52" s="36">
        <v>9307</v>
      </c>
      <c r="AW52" s="36">
        <v>4293</v>
      </c>
      <c r="AX52">
        <v>3693</v>
      </c>
      <c r="AY52" s="36">
        <v>7311</v>
      </c>
      <c r="AZ52" s="36">
        <v>7729</v>
      </c>
      <c r="BA52" s="36">
        <v>7118</v>
      </c>
      <c r="BB52" s="36">
        <v>8633</v>
      </c>
      <c r="BC52" s="36">
        <v>7817</v>
      </c>
      <c r="BD52" s="36">
        <v>7724</v>
      </c>
      <c r="BE52" s="31">
        <v>9142</v>
      </c>
      <c r="BF52" s="31">
        <v>9308</v>
      </c>
      <c r="BH52">
        <f t="shared" si="4"/>
        <v>99011</v>
      </c>
      <c r="BK52" s="53" t="s">
        <v>127</v>
      </c>
      <c r="BP52" s="36">
        <v>297</v>
      </c>
      <c r="BR52">
        <f t="shared" si="5"/>
        <v>297</v>
      </c>
    </row>
    <row r="53" spans="1:70" ht="12.75">
      <c r="A53" s="6" t="s">
        <v>85</v>
      </c>
      <c r="B53" s="36">
        <v>166423</v>
      </c>
      <c r="C53" s="36">
        <v>8770</v>
      </c>
      <c r="D53" s="45"/>
      <c r="E53" s="45"/>
      <c r="F53" t="s">
        <v>85</v>
      </c>
      <c r="G53" s="46">
        <v>129017</v>
      </c>
      <c r="H53" s="46">
        <v>15669</v>
      </c>
      <c r="J53" s="46">
        <v>295440</v>
      </c>
      <c r="K53" s="46">
        <v>24439</v>
      </c>
      <c r="M53" t="s">
        <v>85</v>
      </c>
      <c r="N53">
        <v>23192</v>
      </c>
      <c r="O53">
        <v>46919</v>
      </c>
      <c r="P53">
        <v>59075</v>
      </c>
      <c r="Q53">
        <v>56539</v>
      </c>
      <c r="R53">
        <v>54238</v>
      </c>
      <c r="S53">
        <v>44562</v>
      </c>
      <c r="T53">
        <v>47360</v>
      </c>
      <c r="U53">
        <v>46203</v>
      </c>
      <c r="V53">
        <v>42777</v>
      </c>
      <c r="X53" s="43">
        <f t="shared" si="6"/>
        <v>420865</v>
      </c>
      <c r="Z53">
        <f t="shared" si="7"/>
        <v>587288</v>
      </c>
      <c r="AC53" t="s">
        <v>85</v>
      </c>
      <c r="AD53">
        <v>5911</v>
      </c>
      <c r="AE53">
        <v>14010</v>
      </c>
      <c r="AF53">
        <v>13088</v>
      </c>
      <c r="AG53">
        <v>12622</v>
      </c>
      <c r="AH53">
        <v>14941</v>
      </c>
      <c r="AI53">
        <v>13299</v>
      </c>
      <c r="AJ53" s="43">
        <v>13893</v>
      </c>
      <c r="AK53" s="43">
        <v>14095</v>
      </c>
      <c r="AL53" s="43">
        <v>12658</v>
      </c>
      <c r="AM53" s="43"/>
      <c r="AN53">
        <f t="shared" si="3"/>
        <v>114517</v>
      </c>
      <c r="AP53">
        <f t="shared" si="2"/>
        <v>123287</v>
      </c>
      <c r="AS53" s="8" t="s">
        <v>46</v>
      </c>
      <c r="AT53" s="31">
        <v>10962</v>
      </c>
      <c r="AU53" s="31">
        <v>9375</v>
      </c>
      <c r="AV53" s="31">
        <v>10628</v>
      </c>
      <c r="AW53" s="31">
        <v>4998</v>
      </c>
      <c r="AX53">
        <v>3631</v>
      </c>
      <c r="AY53" s="31">
        <v>7948</v>
      </c>
      <c r="AZ53" s="31">
        <v>8405</v>
      </c>
      <c r="BA53" s="31">
        <v>8763</v>
      </c>
      <c r="BB53" s="31">
        <v>10281</v>
      </c>
      <c r="BC53" s="31">
        <v>8765</v>
      </c>
      <c r="BD53" s="31">
        <v>8561</v>
      </c>
      <c r="BE53" s="36">
        <v>8965</v>
      </c>
      <c r="BF53" s="36">
        <v>9829</v>
      </c>
      <c r="BH53">
        <f t="shared" si="4"/>
        <v>111111</v>
      </c>
      <c r="BK53" s="2" t="s">
        <v>42</v>
      </c>
      <c r="BL53" s="32">
        <v>269</v>
      </c>
      <c r="BM53" s="32">
        <v>181</v>
      </c>
      <c r="BN53" s="32">
        <v>202</v>
      </c>
      <c r="BO53" s="32">
        <v>92</v>
      </c>
      <c r="BP53" s="36">
        <v>1305</v>
      </c>
      <c r="BR53">
        <f t="shared" si="5"/>
        <v>2049</v>
      </c>
    </row>
    <row r="54" spans="1:70" ht="12.75">
      <c r="A54" s="6" t="s">
        <v>86</v>
      </c>
      <c r="B54" s="36">
        <v>76818</v>
      </c>
      <c r="C54" s="36">
        <v>4765</v>
      </c>
      <c r="D54" s="45"/>
      <c r="E54" s="45"/>
      <c r="F54" t="s">
        <v>86</v>
      </c>
      <c r="G54" s="46">
        <v>66504</v>
      </c>
      <c r="H54" s="46">
        <v>8282</v>
      </c>
      <c r="J54" s="46">
        <v>143322</v>
      </c>
      <c r="K54" s="46">
        <v>13047</v>
      </c>
      <c r="M54" t="s">
        <v>86</v>
      </c>
      <c r="N54">
        <v>10401</v>
      </c>
      <c r="O54">
        <v>20608</v>
      </c>
      <c r="P54">
        <v>30694</v>
      </c>
      <c r="Q54">
        <v>29476</v>
      </c>
      <c r="R54">
        <v>28573</v>
      </c>
      <c r="S54">
        <v>22278</v>
      </c>
      <c r="T54">
        <v>21947</v>
      </c>
      <c r="U54">
        <v>22565</v>
      </c>
      <c r="V54">
        <v>19889</v>
      </c>
      <c r="X54" s="43">
        <f t="shared" si="6"/>
        <v>206431</v>
      </c>
      <c r="Z54">
        <f t="shared" si="7"/>
        <v>283249</v>
      </c>
      <c r="AC54" t="s">
        <v>86</v>
      </c>
      <c r="AD54">
        <v>2977</v>
      </c>
      <c r="AE54">
        <v>6435</v>
      </c>
      <c r="AF54">
        <v>6899</v>
      </c>
      <c r="AG54">
        <v>7044</v>
      </c>
      <c r="AH54">
        <v>8303</v>
      </c>
      <c r="AI54">
        <v>7198</v>
      </c>
      <c r="AJ54" s="43">
        <v>7443</v>
      </c>
      <c r="AK54" s="43">
        <v>7616</v>
      </c>
      <c r="AL54" s="43">
        <v>6991</v>
      </c>
      <c r="AM54" s="43"/>
      <c r="AN54">
        <f t="shared" si="3"/>
        <v>60906</v>
      </c>
      <c r="AP54">
        <f t="shared" si="2"/>
        <v>65671</v>
      </c>
      <c r="AS54" s="2" t="s">
        <v>48</v>
      </c>
      <c r="AT54" s="36">
        <v>11250</v>
      </c>
      <c r="AU54" s="36">
        <v>10475</v>
      </c>
      <c r="AV54" s="36">
        <v>11161</v>
      </c>
      <c r="AW54" s="36">
        <v>4566</v>
      </c>
      <c r="AX54">
        <v>3686</v>
      </c>
      <c r="AY54" s="36">
        <v>8095</v>
      </c>
      <c r="AZ54" s="36">
        <v>8176</v>
      </c>
      <c r="BA54" s="36">
        <v>7733</v>
      </c>
      <c r="BB54" s="36">
        <v>9924</v>
      </c>
      <c r="BC54" s="36">
        <v>8773</v>
      </c>
      <c r="BD54" s="36">
        <v>8732</v>
      </c>
      <c r="BE54" s="36">
        <v>8595</v>
      </c>
      <c r="BF54" s="36">
        <v>8633</v>
      </c>
      <c r="BH54">
        <f t="shared" si="4"/>
        <v>109799</v>
      </c>
      <c r="BK54" s="2" t="s">
        <v>44</v>
      </c>
      <c r="BL54" s="32">
        <v>178</v>
      </c>
      <c r="BM54" s="32">
        <v>166</v>
      </c>
      <c r="BN54" s="32">
        <v>150</v>
      </c>
      <c r="BO54" s="32">
        <v>74</v>
      </c>
      <c r="BP54" s="31">
        <v>723</v>
      </c>
      <c r="BR54">
        <f t="shared" si="5"/>
        <v>1291</v>
      </c>
    </row>
    <row r="55" spans="1:70" ht="12.75">
      <c r="A55" s="6" t="s">
        <v>87</v>
      </c>
      <c r="B55" s="36">
        <v>30469</v>
      </c>
      <c r="C55" s="36">
        <v>7267</v>
      </c>
      <c r="D55" s="45"/>
      <c r="E55" s="45"/>
      <c r="F55" t="s">
        <v>87</v>
      </c>
      <c r="G55" s="46">
        <v>24871</v>
      </c>
      <c r="H55" s="46">
        <v>3728</v>
      </c>
      <c r="J55" s="46">
        <v>55340</v>
      </c>
      <c r="K55" s="46">
        <v>10995</v>
      </c>
      <c r="M55" t="s">
        <v>87</v>
      </c>
      <c r="N55">
        <v>4063</v>
      </c>
      <c r="O55">
        <v>7335</v>
      </c>
      <c r="P55">
        <v>9414</v>
      </c>
      <c r="Q55">
        <v>9533</v>
      </c>
      <c r="R55">
        <v>9791</v>
      </c>
      <c r="S55">
        <v>8630</v>
      </c>
      <c r="T55">
        <v>8468</v>
      </c>
      <c r="U55">
        <v>7781</v>
      </c>
      <c r="V55">
        <v>8346</v>
      </c>
      <c r="X55" s="43">
        <f t="shared" si="6"/>
        <v>73361</v>
      </c>
      <c r="Z55">
        <f t="shared" si="7"/>
        <v>103830</v>
      </c>
      <c r="AC55" t="s">
        <v>87</v>
      </c>
      <c r="AD55">
        <v>1424</v>
      </c>
      <c r="AE55">
        <v>2660</v>
      </c>
      <c r="AF55">
        <v>3045</v>
      </c>
      <c r="AG55">
        <v>3508</v>
      </c>
      <c r="AH55">
        <v>4003</v>
      </c>
      <c r="AI55">
        <v>3618</v>
      </c>
      <c r="AJ55" s="43">
        <v>3498</v>
      </c>
      <c r="AK55" s="43">
        <v>3755</v>
      </c>
      <c r="AL55" s="43">
        <v>3952</v>
      </c>
      <c r="AM55" s="43"/>
      <c r="AN55">
        <f t="shared" si="3"/>
        <v>29463</v>
      </c>
      <c r="AP55">
        <f t="shared" si="2"/>
        <v>36730</v>
      </c>
      <c r="AS55" s="2" t="s">
        <v>50</v>
      </c>
      <c r="AT55" s="36">
        <v>5860</v>
      </c>
      <c r="AU55" s="36">
        <v>5246</v>
      </c>
      <c r="AV55" s="36">
        <v>6019</v>
      </c>
      <c r="AW55" s="36">
        <v>2489</v>
      </c>
      <c r="AX55">
        <v>1860</v>
      </c>
      <c r="AY55" s="36">
        <v>4367</v>
      </c>
      <c r="AZ55" s="36">
        <v>4716</v>
      </c>
      <c r="BA55" s="36">
        <v>4581</v>
      </c>
      <c r="BB55" s="36">
        <v>5378</v>
      </c>
      <c r="BC55" s="36">
        <v>4619</v>
      </c>
      <c r="BD55" s="36">
        <v>4638</v>
      </c>
      <c r="BE55" s="31">
        <v>5514</v>
      </c>
      <c r="BF55" s="31">
        <v>5685</v>
      </c>
      <c r="BH55">
        <f t="shared" si="4"/>
        <v>60972</v>
      </c>
      <c r="BK55" s="8" t="s">
        <v>46</v>
      </c>
      <c r="BL55" s="31">
        <v>175</v>
      </c>
      <c r="BM55" s="31">
        <v>150</v>
      </c>
      <c r="BN55" s="31">
        <v>136</v>
      </c>
      <c r="BO55" s="31">
        <v>82</v>
      </c>
      <c r="BP55" s="36">
        <v>964</v>
      </c>
      <c r="BR55">
        <f t="shared" si="5"/>
        <v>1507</v>
      </c>
    </row>
    <row r="56" spans="1:70" ht="12.75">
      <c r="A56" s="6" t="s">
        <v>97</v>
      </c>
      <c r="B56" s="36">
        <v>4024</v>
      </c>
      <c r="C56" s="36">
        <v>447</v>
      </c>
      <c r="D56" s="45"/>
      <c r="E56" s="45"/>
      <c r="F56" t="s">
        <v>97</v>
      </c>
      <c r="G56" s="46">
        <v>4185</v>
      </c>
      <c r="H56" s="46">
        <v>650</v>
      </c>
      <c r="J56" s="46">
        <v>8209</v>
      </c>
      <c r="K56" s="46">
        <v>1097</v>
      </c>
      <c r="M56" t="s">
        <v>97</v>
      </c>
      <c r="N56">
        <v>506</v>
      </c>
      <c r="O56">
        <v>1037</v>
      </c>
      <c r="P56">
        <v>1242</v>
      </c>
      <c r="Q56">
        <v>1215</v>
      </c>
      <c r="R56">
        <v>1523</v>
      </c>
      <c r="S56">
        <v>1312</v>
      </c>
      <c r="T56">
        <v>1142</v>
      </c>
      <c r="U56">
        <v>1261</v>
      </c>
      <c r="V56">
        <v>1061</v>
      </c>
      <c r="X56" s="43">
        <f t="shared" si="6"/>
        <v>10299</v>
      </c>
      <c r="Z56">
        <f t="shared" si="7"/>
        <v>14323</v>
      </c>
      <c r="AC56" t="s">
        <v>97</v>
      </c>
      <c r="AD56">
        <v>187</v>
      </c>
      <c r="AE56">
        <v>508</v>
      </c>
      <c r="AF56">
        <v>534</v>
      </c>
      <c r="AG56">
        <v>569</v>
      </c>
      <c r="AH56">
        <v>609</v>
      </c>
      <c r="AI56">
        <v>597</v>
      </c>
      <c r="AJ56" s="43">
        <v>449</v>
      </c>
      <c r="AK56" s="43">
        <v>574</v>
      </c>
      <c r="AL56" s="43">
        <v>608</v>
      </c>
      <c r="AM56" s="43"/>
      <c r="AN56">
        <f t="shared" si="3"/>
        <v>4635</v>
      </c>
      <c r="AP56">
        <f t="shared" si="2"/>
        <v>5082</v>
      </c>
      <c r="AS56" s="8" t="s">
        <v>52</v>
      </c>
      <c r="AT56" s="31">
        <v>17461</v>
      </c>
      <c r="AU56" s="31">
        <v>15181</v>
      </c>
      <c r="AV56" s="31">
        <v>18107</v>
      </c>
      <c r="AW56" s="31">
        <v>8206</v>
      </c>
      <c r="AX56">
        <v>5709</v>
      </c>
      <c r="AY56" s="31">
        <v>13142</v>
      </c>
      <c r="AZ56" s="31">
        <v>13019</v>
      </c>
      <c r="BA56" s="31">
        <v>12695</v>
      </c>
      <c r="BB56" s="31">
        <v>16784</v>
      </c>
      <c r="BC56" s="31">
        <v>14214</v>
      </c>
      <c r="BD56" s="31">
        <v>13844</v>
      </c>
      <c r="BE56" s="36">
        <v>14428</v>
      </c>
      <c r="BF56" s="36">
        <v>14986</v>
      </c>
      <c r="BH56">
        <f t="shared" si="4"/>
        <v>177776</v>
      </c>
      <c r="BK56" s="2" t="s">
        <v>48</v>
      </c>
      <c r="BL56" s="32">
        <v>189</v>
      </c>
      <c r="BM56" s="32">
        <v>121</v>
      </c>
      <c r="BN56" s="32">
        <v>190</v>
      </c>
      <c r="BO56" s="32">
        <v>83</v>
      </c>
      <c r="BP56" s="36">
        <v>728</v>
      </c>
      <c r="BR56">
        <f t="shared" si="5"/>
        <v>1311</v>
      </c>
    </row>
    <row r="57" spans="1:70" ht="12.75">
      <c r="A57" s="6" t="s">
        <v>88</v>
      </c>
      <c r="B57" s="36">
        <v>4685</v>
      </c>
      <c r="C57" s="36">
        <v>159</v>
      </c>
      <c r="D57" s="45"/>
      <c r="E57" s="45"/>
      <c r="F57" t="s">
        <v>88</v>
      </c>
      <c r="G57" s="46">
        <v>1496</v>
      </c>
      <c r="H57" s="46">
        <v>821</v>
      </c>
      <c r="J57" s="46">
        <v>6181</v>
      </c>
      <c r="K57" s="46">
        <v>980</v>
      </c>
      <c r="M57" t="s">
        <v>88</v>
      </c>
      <c r="N57">
        <v>401</v>
      </c>
      <c r="O57">
        <v>1010</v>
      </c>
      <c r="P57">
        <v>743</v>
      </c>
      <c r="Q57">
        <v>676</v>
      </c>
      <c r="R57">
        <v>831</v>
      </c>
      <c r="S57">
        <v>908</v>
      </c>
      <c r="T57">
        <v>1010</v>
      </c>
      <c r="U57">
        <v>1064</v>
      </c>
      <c r="V57">
        <v>958</v>
      </c>
      <c r="X57" s="43">
        <f t="shared" si="6"/>
        <v>7601</v>
      </c>
      <c r="Z57">
        <f t="shared" si="7"/>
        <v>12286</v>
      </c>
      <c r="AC57" t="s">
        <v>88</v>
      </c>
      <c r="AD57">
        <v>219</v>
      </c>
      <c r="AE57">
        <v>576</v>
      </c>
      <c r="AF57">
        <v>336</v>
      </c>
      <c r="AG57">
        <v>347</v>
      </c>
      <c r="AH57">
        <v>507</v>
      </c>
      <c r="AI57">
        <v>541</v>
      </c>
      <c r="AJ57" s="43">
        <v>670</v>
      </c>
      <c r="AK57" s="43">
        <v>635</v>
      </c>
      <c r="AL57" s="43">
        <v>483</v>
      </c>
      <c r="AM57" s="43"/>
      <c r="AN57">
        <f t="shared" si="3"/>
        <v>4314</v>
      </c>
      <c r="AP57">
        <f t="shared" si="2"/>
        <v>4473</v>
      </c>
      <c r="AS57" s="2" t="s">
        <v>54</v>
      </c>
      <c r="AT57" s="36">
        <v>24294</v>
      </c>
      <c r="AU57" s="36">
        <v>21307</v>
      </c>
      <c r="AV57" s="36">
        <v>23311</v>
      </c>
      <c r="AW57" s="36">
        <v>10697</v>
      </c>
      <c r="AX57">
        <v>6552</v>
      </c>
      <c r="AY57" s="36">
        <v>17780</v>
      </c>
      <c r="AZ57" s="36">
        <v>18153</v>
      </c>
      <c r="BA57" s="36">
        <v>17577</v>
      </c>
      <c r="BB57" s="36">
        <v>21520</v>
      </c>
      <c r="BC57" s="36">
        <v>18576</v>
      </c>
      <c r="BD57" s="36">
        <v>17980</v>
      </c>
      <c r="BE57" s="36">
        <v>19090</v>
      </c>
      <c r="BF57" s="36">
        <v>19369</v>
      </c>
      <c r="BH57">
        <f t="shared" si="4"/>
        <v>236206</v>
      </c>
      <c r="BK57" s="2" t="s">
        <v>50</v>
      </c>
      <c r="BL57" s="32">
        <v>124</v>
      </c>
      <c r="BM57" s="32">
        <v>88</v>
      </c>
      <c r="BN57" s="32">
        <v>94</v>
      </c>
      <c r="BO57" s="32">
        <v>42</v>
      </c>
      <c r="BP57" s="31">
        <v>453</v>
      </c>
      <c r="BR57">
        <f t="shared" si="5"/>
        <v>801</v>
      </c>
    </row>
    <row r="58" spans="1:70" ht="12.75">
      <c r="A58" s="6" t="s">
        <v>89</v>
      </c>
      <c r="B58" s="36">
        <v>0</v>
      </c>
      <c r="C58" s="36">
        <v>879044</v>
      </c>
      <c r="D58" s="45"/>
      <c r="E58" s="45"/>
      <c r="G58" s="46">
        <v>12597</v>
      </c>
      <c r="J58" s="46">
        <v>12597</v>
      </c>
      <c r="K58" s="46">
        <v>879044</v>
      </c>
      <c r="N58">
        <v>12550</v>
      </c>
      <c r="O58">
        <v>40</v>
      </c>
      <c r="P58">
        <v>20</v>
      </c>
      <c r="Q58">
        <v>7</v>
      </c>
      <c r="W58" s="43"/>
      <c r="X58" s="43">
        <f>SUM(N58:W58)</f>
        <v>12617</v>
      </c>
      <c r="Z58">
        <f t="shared" si="7"/>
        <v>12617</v>
      </c>
      <c r="AC58" t="s">
        <v>89</v>
      </c>
      <c r="AE58" s="43"/>
      <c r="AF58" s="43"/>
      <c r="AG58" s="43"/>
      <c r="AH58" s="43"/>
      <c r="AI58" s="43"/>
      <c r="AJ58" s="43"/>
      <c r="AK58" s="43"/>
      <c r="AL58" s="43"/>
      <c r="AM58" s="43"/>
      <c r="AP58">
        <f t="shared" si="2"/>
        <v>879044</v>
      </c>
      <c r="AS58" s="2" t="s">
        <v>56</v>
      </c>
      <c r="AT58" s="36">
        <v>4900</v>
      </c>
      <c r="AU58" s="36">
        <v>4502</v>
      </c>
      <c r="AV58" s="36">
        <v>5245</v>
      </c>
      <c r="AW58" s="36">
        <v>2563</v>
      </c>
      <c r="AX58">
        <v>1838</v>
      </c>
      <c r="AY58" s="36">
        <v>4158</v>
      </c>
      <c r="AZ58" s="36">
        <v>4426</v>
      </c>
      <c r="BA58" s="36">
        <v>4311</v>
      </c>
      <c r="BB58" s="36">
        <v>5243</v>
      </c>
      <c r="BC58" s="36">
        <v>4496</v>
      </c>
      <c r="BD58" s="36">
        <v>4595</v>
      </c>
      <c r="BE58" s="31">
        <v>4328</v>
      </c>
      <c r="BF58" s="31">
        <v>19369</v>
      </c>
      <c r="BH58">
        <f t="shared" si="4"/>
        <v>69974</v>
      </c>
      <c r="BK58" s="8" t="s">
        <v>52</v>
      </c>
      <c r="BL58" s="31">
        <v>348</v>
      </c>
      <c r="BM58" s="31">
        <v>356</v>
      </c>
      <c r="BN58" s="31">
        <v>373</v>
      </c>
      <c r="BO58" s="31">
        <v>150</v>
      </c>
      <c r="BP58" s="36">
        <v>1429</v>
      </c>
      <c r="BR58">
        <f t="shared" si="5"/>
        <v>2656</v>
      </c>
    </row>
    <row r="59" spans="4:70" ht="12.75">
      <c r="D59" s="45"/>
      <c r="E59" s="45"/>
      <c r="AS59" s="8" t="s">
        <v>22</v>
      </c>
      <c r="AT59" s="31">
        <v>11</v>
      </c>
      <c r="AU59" s="31">
        <v>20</v>
      </c>
      <c r="AV59" s="31">
        <v>9</v>
      </c>
      <c r="AW59" s="31">
        <v>1</v>
      </c>
      <c r="AX59" s="31">
        <v>0</v>
      </c>
      <c r="AY59" s="31">
        <v>0</v>
      </c>
      <c r="AZ59" s="31">
        <v>1</v>
      </c>
      <c r="BA59" s="31">
        <v>0</v>
      </c>
      <c r="BB59" s="54">
        <v>0</v>
      </c>
      <c r="BC59" s="31">
        <v>0</v>
      </c>
      <c r="BD59" s="31">
        <v>0</v>
      </c>
      <c r="BE59" s="36">
        <v>0</v>
      </c>
      <c r="BF59" s="36">
        <v>0</v>
      </c>
      <c r="BH59">
        <f t="shared" si="4"/>
        <v>42</v>
      </c>
      <c r="BK59" s="2" t="s">
        <v>54</v>
      </c>
      <c r="BL59" s="32">
        <v>427</v>
      </c>
      <c r="BM59" s="32">
        <v>362</v>
      </c>
      <c r="BN59" s="32">
        <v>392</v>
      </c>
      <c r="BO59" s="32">
        <v>189</v>
      </c>
      <c r="BP59" s="36">
        <v>1755</v>
      </c>
      <c r="BR59">
        <f t="shared" si="5"/>
        <v>3125</v>
      </c>
    </row>
    <row r="60" spans="4:70" ht="12.75">
      <c r="D60" s="45"/>
      <c r="E60" s="45"/>
      <c r="AK60">
        <f>SUM(AK3:AK59)</f>
        <v>323250</v>
      </c>
      <c r="AL60">
        <f>SUM(AL3:AL59)</f>
        <v>299558</v>
      </c>
      <c r="AN60">
        <f>SUM(AN3:AN59)</f>
        <v>2562931</v>
      </c>
      <c r="AP60">
        <f>SUM(AP3:AP59)</f>
        <v>3670401</v>
      </c>
      <c r="BK60" s="2" t="s">
        <v>56</v>
      </c>
      <c r="BL60" s="32">
        <v>71</v>
      </c>
      <c r="BM60" s="32">
        <v>66</v>
      </c>
      <c r="BN60" s="32">
        <v>66</v>
      </c>
      <c r="BO60" s="32">
        <v>25</v>
      </c>
      <c r="BP60" s="31">
        <v>261</v>
      </c>
      <c r="BR60">
        <f t="shared" si="5"/>
        <v>489</v>
      </c>
    </row>
    <row r="61" spans="2:70" ht="12.75">
      <c r="B61">
        <f>SUM(B3:B60)</f>
        <v>3465309</v>
      </c>
      <c r="C61">
        <f>SUM(C3:C60)</f>
        <v>1107470</v>
      </c>
      <c r="D61" s="45"/>
      <c r="E61" s="45"/>
      <c r="N61">
        <f>SUM(N3:N60)</f>
        <v>472614</v>
      </c>
      <c r="O61">
        <f>SUM(O3:O60)</f>
        <v>912153</v>
      </c>
      <c r="Q61">
        <f>SUM(Q3:Q60)</f>
        <v>1099628</v>
      </c>
      <c r="R61">
        <f>SUM(R3:R60)</f>
        <v>1104261</v>
      </c>
      <c r="S61">
        <f>SUM(S3:S60)</f>
        <v>955762</v>
      </c>
      <c r="T61">
        <f>SUM(T3:T58)</f>
        <v>975673</v>
      </c>
      <c r="U61">
        <f>SUM(U3:U60)</f>
        <v>946439</v>
      </c>
      <c r="V61">
        <f>SUM(V3:V60)</f>
        <v>910208</v>
      </c>
      <c r="X61">
        <f>SUM(X3:X60)</f>
        <v>8468162</v>
      </c>
      <c r="Z61">
        <f>SUM(Z3:Z60)</f>
        <v>11933471</v>
      </c>
      <c r="BK61" s="8" t="s">
        <v>22</v>
      </c>
      <c r="BL61" s="31">
        <v>0</v>
      </c>
      <c r="BM61" s="31">
        <v>1</v>
      </c>
      <c r="BN61" s="31">
        <v>0</v>
      </c>
      <c r="BO61" s="31">
        <v>0</v>
      </c>
      <c r="BP61" s="36">
        <v>0</v>
      </c>
      <c r="BR61">
        <f t="shared" si="5"/>
        <v>1</v>
      </c>
    </row>
    <row r="62" spans="4:60" ht="12.75">
      <c r="D62" s="45"/>
      <c r="E62" s="45"/>
      <c r="AT62">
        <f aca="true" t="shared" si="8" ref="AT62:BF62">SUM(AT3:AT61)</f>
        <v>289863</v>
      </c>
      <c r="AU62">
        <f t="shared" si="8"/>
        <v>250408</v>
      </c>
      <c r="AV62">
        <f t="shared" si="8"/>
        <v>291357</v>
      </c>
      <c r="AW62">
        <f t="shared" si="8"/>
        <v>127966</v>
      </c>
      <c r="AX62">
        <f t="shared" si="8"/>
        <v>92630</v>
      </c>
      <c r="AY62">
        <f t="shared" si="8"/>
        <v>216602</v>
      </c>
      <c r="AZ62">
        <f t="shared" si="8"/>
        <v>224200</v>
      </c>
      <c r="BA62">
        <f t="shared" si="8"/>
        <v>223375</v>
      </c>
      <c r="BB62">
        <f t="shared" si="8"/>
        <v>275879</v>
      </c>
      <c r="BC62">
        <f t="shared" si="8"/>
        <v>236778</v>
      </c>
      <c r="BD62">
        <f t="shared" si="8"/>
        <v>236366</v>
      </c>
      <c r="BE62">
        <f t="shared" si="8"/>
        <v>233409</v>
      </c>
      <c r="BF62">
        <f t="shared" si="8"/>
        <v>249026</v>
      </c>
      <c r="BH62">
        <f t="shared" si="4"/>
        <v>2947859</v>
      </c>
    </row>
    <row r="63" spans="64:70" ht="12.75">
      <c r="BL63">
        <f>SUM(BL3:BL62)</f>
        <v>5100</v>
      </c>
      <c r="BM63">
        <f>SUM(BM3:BM62)</f>
        <v>4162</v>
      </c>
      <c r="BN63">
        <f>SUM(BN3:BN62)</f>
        <v>4740</v>
      </c>
      <c r="BO63">
        <f>SUM(BO3:BO62)</f>
        <v>2201</v>
      </c>
      <c r="BP63">
        <f>SUM(BP3:BP62)</f>
        <v>21143</v>
      </c>
      <c r="BR63">
        <f>SUM(BR3:BR62)</f>
        <v>37346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Central Library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jriendeau</dc:creator>
  <cp:keywords/>
  <dc:description/>
  <cp:lastModifiedBy>sclcweber</cp:lastModifiedBy>
  <cp:lastPrinted>2011-09-01T21:53:41Z</cp:lastPrinted>
  <dcterms:created xsi:type="dcterms:W3CDTF">2003-02-04T00:02:37Z</dcterms:created>
  <dcterms:modified xsi:type="dcterms:W3CDTF">2012-01-16T22:42:06Z</dcterms:modified>
  <cp:category/>
  <cp:version/>
  <cp:contentType/>
  <cp:contentStatus/>
</cp:coreProperties>
</file>