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s\Monthly\Stat Summary\script\Output\"/>
    </mc:Choice>
  </mc:AlternateContent>
  <bookViews>
    <workbookView xWindow="0" yWindow="0" windowWidth="19200" windowHeight="8100"/>
  </bookViews>
  <sheets>
    <sheet name="LINK Summary" sheetId="1" r:id="rId1"/>
    <sheet name="Iteragency Details" sheetId="2" r:id="rId2"/>
  </sheets>
  <definedNames>
    <definedName name="allholds">'LINK Summary'!$M$95</definedName>
    <definedName name="allscids">'LINK Summary'!$E$95</definedName>
    <definedName name="almintb">'Iteragency Details'!$K$49</definedName>
    <definedName name="almintl">'Iteragency Details'!$J$49</definedName>
    <definedName name="dclintb">'Iteragency Details'!$G$39</definedName>
    <definedName name="dclintl">'Iteragency Details'!$F$39</definedName>
    <definedName name="dclsscid">'LINK Summary'!$E$68</definedName>
    <definedName name="hawintb">'Iteragency Details'!$I$25</definedName>
    <definedName name="hawintl">'Iteragency Details'!$H$25</definedName>
    <definedName name="hpbintb">'Iteragency Details'!$I$24</definedName>
    <definedName name="hpbintl">'Iteragency Details'!$H$24</definedName>
    <definedName name="lakintb">'Iteragency Details'!$I$26</definedName>
    <definedName name="lakintl">'Iteragency Details'!$H$26</definedName>
    <definedName name="madintb">'Iteragency Details'!$I$23</definedName>
    <definedName name="madintl">'Iteragency Details'!$H$23</definedName>
    <definedName name="meaintb">'Iteragency Details'!$I$27</definedName>
    <definedName name="meaintl">'Iteragency Details'!$H$27</definedName>
    <definedName name="mplscid">'LINK Summary'!$E$92</definedName>
    <definedName name="mrsintb">'Iteragency Details'!$G$40</definedName>
    <definedName name="mrsintl">'Iteragency Details'!$F$40</definedName>
    <definedName name="msbintb">'Iteragency Details'!$I$28</definedName>
    <definedName name="msbintl">'Iteragency Details'!$H$28</definedName>
    <definedName name="nonmplpocoscid">'LINK Summary'!$E$61</definedName>
    <definedName name="nonmplscid">'LINK Summary'!$E$78</definedName>
    <definedName name="pinintb">'Iteragency Details'!$I$29</definedName>
    <definedName name="pinintl">'Iteragency Details'!$H$29</definedName>
    <definedName name="plointb">'Iteragency Details'!$K$50</definedName>
    <definedName name="plointl">'Iteragency Details'!$J$50</definedName>
    <definedName name="pocoscid">'LINK Summary'!$E$76</definedName>
    <definedName name="rosintb">'Iteragency Details'!$K$51</definedName>
    <definedName name="rosintl">'Iteragency Details'!$J$51</definedName>
    <definedName name="seqintb">'Iteragency Details'!$I$30</definedName>
    <definedName name="seqintl">'Iteragency Details'!$H$30</definedName>
    <definedName name="smbintb">'Iteragency Details'!$I$31</definedName>
    <definedName name="smbintl">'Iteragency Details'!$H$31</definedName>
    <definedName name="stpintb">'Iteragency Details'!$K$48</definedName>
    <definedName name="stpintl">'Iteragency Details'!$J$48</definedName>
  </definedNames>
  <calcPr calcId="162913"/>
</workbook>
</file>

<file path=xl/calcChain.xml><?xml version="1.0" encoding="utf-8"?>
<calcChain xmlns="http://schemas.openxmlformats.org/spreadsheetml/2006/main">
  <c r="I53" i="2" l="1"/>
  <c r="H53" i="2"/>
  <c r="G53" i="2"/>
  <c r="F53" i="2"/>
  <c r="E53" i="2"/>
  <c r="D53" i="2"/>
  <c r="C53" i="2"/>
  <c r="B53" i="2"/>
  <c r="K51" i="2"/>
  <c r="J51" i="2"/>
  <c r="K50" i="2"/>
  <c r="J50" i="2"/>
  <c r="K49" i="2"/>
  <c r="J49" i="2"/>
  <c r="K48" i="2"/>
  <c r="K53" i="2" s="1"/>
  <c r="J48" i="2"/>
  <c r="J53" i="2" s="1"/>
  <c r="E42" i="2"/>
  <c r="D42" i="2"/>
  <c r="C42" i="2"/>
  <c r="B42" i="2"/>
  <c r="G40" i="2"/>
  <c r="F40" i="2"/>
  <c r="G39" i="2"/>
  <c r="G42" i="2" s="1"/>
  <c r="F39" i="2"/>
  <c r="F42" i="2" s="1"/>
  <c r="G33" i="2"/>
  <c r="F33" i="2"/>
  <c r="E33" i="2"/>
  <c r="D33" i="2"/>
  <c r="C33" i="2"/>
  <c r="B33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I33" i="2" s="1"/>
  <c r="H23" i="2"/>
  <c r="H33" i="2" s="1"/>
  <c r="M17" i="2"/>
  <c r="L17" i="2"/>
  <c r="K17" i="2"/>
  <c r="J17" i="2"/>
  <c r="I17" i="2"/>
  <c r="H17" i="2"/>
  <c r="G17" i="2"/>
  <c r="F17" i="2"/>
  <c r="E17" i="2"/>
  <c r="D17" i="2"/>
  <c r="C17" i="2"/>
  <c r="B17" i="2"/>
  <c r="F1" i="2"/>
  <c r="Q92" i="1"/>
  <c r="Q95" i="1" s="1"/>
  <c r="P92" i="1"/>
  <c r="P95" i="1" s="1"/>
  <c r="R95" i="1" s="1"/>
  <c r="O92" i="1"/>
  <c r="M92" i="1"/>
  <c r="M95" i="1" s="1"/>
  <c r="J92" i="1"/>
  <c r="J95" i="1" s="1"/>
  <c r="I92" i="1"/>
  <c r="I95" i="1" s="1"/>
  <c r="K95" i="1" s="1"/>
  <c r="H92" i="1"/>
  <c r="H95" i="1" s="1"/>
  <c r="E92" i="1"/>
  <c r="B92" i="1"/>
  <c r="A92" i="1"/>
  <c r="R90" i="1"/>
  <c r="K90" i="1"/>
  <c r="G90" i="1"/>
  <c r="L90" i="1" s="1"/>
  <c r="F90" i="1"/>
  <c r="R89" i="1"/>
  <c r="K89" i="1"/>
  <c r="G89" i="1"/>
  <c r="L89" i="1" s="1"/>
  <c r="F89" i="1"/>
  <c r="R88" i="1"/>
  <c r="L88" i="1"/>
  <c r="K88" i="1"/>
  <c r="G88" i="1"/>
  <c r="F88" i="1"/>
  <c r="R87" i="1"/>
  <c r="K87" i="1"/>
  <c r="G87" i="1"/>
  <c r="L87" i="1" s="1"/>
  <c r="F87" i="1"/>
  <c r="R86" i="1"/>
  <c r="L86" i="1"/>
  <c r="K86" i="1"/>
  <c r="G86" i="1"/>
  <c r="F86" i="1"/>
  <c r="R85" i="1"/>
  <c r="K85" i="1"/>
  <c r="G85" i="1"/>
  <c r="L85" i="1" s="1"/>
  <c r="F85" i="1"/>
  <c r="R84" i="1"/>
  <c r="L84" i="1"/>
  <c r="K84" i="1"/>
  <c r="G84" i="1"/>
  <c r="F84" i="1"/>
  <c r="R83" i="1"/>
  <c r="K83" i="1"/>
  <c r="G83" i="1"/>
  <c r="L83" i="1" s="1"/>
  <c r="F83" i="1"/>
  <c r="R82" i="1"/>
  <c r="L82" i="1"/>
  <c r="K82" i="1"/>
  <c r="G82" i="1"/>
  <c r="G92" i="1" s="1"/>
  <c r="J78" i="1"/>
  <c r="G77" i="1"/>
  <c r="Q76" i="1"/>
  <c r="P76" i="1"/>
  <c r="R76" i="1" s="1"/>
  <c r="O76" i="1"/>
  <c r="M76" i="1"/>
  <c r="K76" i="1"/>
  <c r="J76" i="1"/>
  <c r="I76" i="1"/>
  <c r="H76" i="1"/>
  <c r="G76" i="1"/>
  <c r="E76" i="1"/>
  <c r="B76" i="1"/>
  <c r="A76" i="1"/>
  <c r="R74" i="1"/>
  <c r="L74" i="1"/>
  <c r="K74" i="1"/>
  <c r="G74" i="1"/>
  <c r="F74" i="1"/>
  <c r="R73" i="1"/>
  <c r="N73" i="1"/>
  <c r="K73" i="1"/>
  <c r="G73" i="1"/>
  <c r="L73" i="1" s="1"/>
  <c r="F73" i="1"/>
  <c r="R72" i="1"/>
  <c r="L72" i="1"/>
  <c r="K72" i="1"/>
  <c r="G72" i="1"/>
  <c r="F72" i="1"/>
  <c r="R71" i="1"/>
  <c r="N71" i="1"/>
  <c r="K71" i="1"/>
  <c r="G71" i="1"/>
  <c r="L71" i="1" s="1"/>
  <c r="F71" i="1"/>
  <c r="Q68" i="1"/>
  <c r="P68" i="1"/>
  <c r="R68" i="1" s="1"/>
  <c r="O68" i="1"/>
  <c r="M68" i="1"/>
  <c r="K68" i="1"/>
  <c r="J68" i="1"/>
  <c r="I68" i="1"/>
  <c r="H68" i="1"/>
  <c r="G68" i="1"/>
  <c r="E68" i="1"/>
  <c r="B68" i="1"/>
  <c r="A68" i="1"/>
  <c r="R66" i="1"/>
  <c r="L66" i="1"/>
  <c r="K66" i="1"/>
  <c r="G66" i="1"/>
  <c r="F66" i="1"/>
  <c r="R65" i="1"/>
  <c r="N65" i="1"/>
  <c r="K65" i="1"/>
  <c r="G65" i="1"/>
  <c r="L65" i="1" s="1"/>
  <c r="F65" i="1"/>
  <c r="F68" i="1" s="1"/>
  <c r="Q61" i="1"/>
  <c r="Q78" i="1" s="1"/>
  <c r="P61" i="1"/>
  <c r="R61" i="1" s="1"/>
  <c r="O61" i="1"/>
  <c r="M61" i="1"/>
  <c r="M78" i="1" s="1"/>
  <c r="K61" i="1"/>
  <c r="J61" i="1"/>
  <c r="I61" i="1"/>
  <c r="I78" i="1" s="1"/>
  <c r="H61" i="1"/>
  <c r="E61" i="1"/>
  <c r="E78" i="1" s="1"/>
  <c r="B61" i="1"/>
  <c r="B95" i="1" s="1"/>
  <c r="A61" i="1"/>
  <c r="G60" i="1"/>
  <c r="R59" i="1"/>
  <c r="L59" i="1"/>
  <c r="K59" i="1"/>
  <c r="G59" i="1"/>
  <c r="F59" i="1"/>
  <c r="R58" i="1"/>
  <c r="K58" i="1"/>
  <c r="G58" i="1"/>
  <c r="L58" i="1" s="1"/>
  <c r="F58" i="1"/>
  <c r="R57" i="1"/>
  <c r="L57" i="1"/>
  <c r="K57" i="1"/>
  <c r="G57" i="1"/>
  <c r="F57" i="1"/>
  <c r="R56" i="1"/>
  <c r="K56" i="1"/>
  <c r="G56" i="1"/>
  <c r="L56" i="1" s="1"/>
  <c r="F56" i="1"/>
  <c r="R55" i="1"/>
  <c r="L55" i="1"/>
  <c r="K55" i="1"/>
  <c r="G55" i="1"/>
  <c r="F55" i="1"/>
  <c r="R54" i="1"/>
  <c r="K54" i="1"/>
  <c r="G54" i="1"/>
  <c r="L54" i="1" s="1"/>
  <c r="F54" i="1"/>
  <c r="R53" i="1"/>
  <c r="L53" i="1"/>
  <c r="K53" i="1"/>
  <c r="G53" i="1"/>
  <c r="F53" i="1"/>
  <c r="R52" i="1"/>
  <c r="K52" i="1"/>
  <c r="G52" i="1"/>
  <c r="L52" i="1" s="1"/>
  <c r="F52" i="1"/>
  <c r="R51" i="1"/>
  <c r="L51" i="1"/>
  <c r="K51" i="1"/>
  <c r="G51" i="1"/>
  <c r="F51" i="1"/>
  <c r="R50" i="1"/>
  <c r="K50" i="1"/>
  <c r="G50" i="1"/>
  <c r="L50" i="1" s="1"/>
  <c r="F50" i="1"/>
  <c r="R49" i="1"/>
  <c r="L49" i="1"/>
  <c r="K49" i="1"/>
  <c r="G49" i="1"/>
  <c r="F49" i="1"/>
  <c r="R48" i="1"/>
  <c r="K48" i="1"/>
  <c r="G48" i="1"/>
  <c r="L48" i="1" s="1"/>
  <c r="F48" i="1"/>
  <c r="R47" i="1"/>
  <c r="L47" i="1"/>
  <c r="K47" i="1"/>
  <c r="G47" i="1"/>
  <c r="F47" i="1"/>
  <c r="N46" i="1"/>
  <c r="G46" i="1"/>
  <c r="L46" i="1" s="1"/>
  <c r="F46" i="1"/>
  <c r="R45" i="1"/>
  <c r="K45" i="1"/>
  <c r="G45" i="1"/>
  <c r="L45" i="1" s="1"/>
  <c r="F45" i="1"/>
  <c r="R44" i="1"/>
  <c r="L44" i="1"/>
  <c r="K44" i="1"/>
  <c r="G44" i="1"/>
  <c r="F44" i="1"/>
  <c r="R43" i="1"/>
  <c r="K43" i="1"/>
  <c r="G43" i="1"/>
  <c r="L43" i="1" s="1"/>
  <c r="F43" i="1"/>
  <c r="R42" i="1"/>
  <c r="L42" i="1"/>
  <c r="K42" i="1"/>
  <c r="G42" i="1"/>
  <c r="F42" i="1"/>
  <c r="R41" i="1"/>
  <c r="K41" i="1"/>
  <c r="G41" i="1"/>
  <c r="L41" i="1" s="1"/>
  <c r="F41" i="1"/>
  <c r="R40" i="1"/>
  <c r="L40" i="1"/>
  <c r="K40" i="1"/>
  <c r="G40" i="1"/>
  <c r="F40" i="1"/>
  <c r="R39" i="1"/>
  <c r="K39" i="1"/>
  <c r="G39" i="1"/>
  <c r="L39" i="1" s="1"/>
  <c r="F39" i="1"/>
  <c r="R38" i="1"/>
  <c r="L38" i="1"/>
  <c r="K38" i="1"/>
  <c r="G38" i="1"/>
  <c r="F38" i="1"/>
  <c r="R37" i="1"/>
  <c r="K37" i="1"/>
  <c r="G37" i="1"/>
  <c r="L37" i="1" s="1"/>
  <c r="F37" i="1"/>
  <c r="R36" i="1"/>
  <c r="L36" i="1"/>
  <c r="K36" i="1"/>
  <c r="G36" i="1"/>
  <c r="F36" i="1"/>
  <c r="R35" i="1"/>
  <c r="K35" i="1"/>
  <c r="G35" i="1"/>
  <c r="L35" i="1" s="1"/>
  <c r="F35" i="1"/>
  <c r="R34" i="1"/>
  <c r="L34" i="1"/>
  <c r="K34" i="1"/>
  <c r="G34" i="1"/>
  <c r="F34" i="1"/>
  <c r="R33" i="1"/>
  <c r="K33" i="1"/>
  <c r="G33" i="1"/>
  <c r="L33" i="1" s="1"/>
  <c r="F33" i="1"/>
  <c r="R32" i="1"/>
  <c r="L32" i="1"/>
  <c r="K32" i="1"/>
  <c r="G32" i="1"/>
  <c r="F32" i="1"/>
  <c r="R31" i="1"/>
  <c r="K31" i="1"/>
  <c r="G31" i="1"/>
  <c r="L31" i="1" s="1"/>
  <c r="F31" i="1"/>
  <c r="R30" i="1"/>
  <c r="L30" i="1"/>
  <c r="K30" i="1"/>
  <c r="G30" i="1"/>
  <c r="F30" i="1"/>
  <c r="R29" i="1"/>
  <c r="K29" i="1"/>
  <c r="G29" i="1"/>
  <c r="L29" i="1" s="1"/>
  <c r="F29" i="1"/>
  <c r="R28" i="1"/>
  <c r="L28" i="1"/>
  <c r="K28" i="1"/>
  <c r="G28" i="1"/>
  <c r="F28" i="1"/>
  <c r="R27" i="1"/>
  <c r="K27" i="1"/>
  <c r="G27" i="1"/>
  <c r="L27" i="1" s="1"/>
  <c r="F27" i="1"/>
  <c r="R26" i="1"/>
  <c r="L26" i="1"/>
  <c r="K26" i="1"/>
  <c r="G26" i="1"/>
  <c r="F26" i="1"/>
  <c r="R25" i="1"/>
  <c r="K25" i="1"/>
  <c r="G25" i="1"/>
  <c r="L25" i="1" s="1"/>
  <c r="F25" i="1"/>
  <c r="R24" i="1"/>
  <c r="L24" i="1"/>
  <c r="K24" i="1"/>
  <c r="G24" i="1"/>
  <c r="F24" i="1"/>
  <c r="R23" i="1"/>
  <c r="K23" i="1"/>
  <c r="G23" i="1"/>
  <c r="L23" i="1" s="1"/>
  <c r="F23" i="1"/>
  <c r="R22" i="1"/>
  <c r="L22" i="1"/>
  <c r="K22" i="1"/>
  <c r="G22" i="1"/>
  <c r="F22" i="1"/>
  <c r="R21" i="1"/>
  <c r="K21" i="1"/>
  <c r="G21" i="1"/>
  <c r="L21" i="1" s="1"/>
  <c r="F21" i="1"/>
  <c r="R20" i="1"/>
  <c r="L20" i="1"/>
  <c r="K20" i="1"/>
  <c r="G20" i="1"/>
  <c r="F20" i="1"/>
  <c r="R19" i="1"/>
  <c r="K19" i="1"/>
  <c r="G19" i="1"/>
  <c r="L19" i="1" s="1"/>
  <c r="F19" i="1"/>
  <c r="R18" i="1"/>
  <c r="L18" i="1"/>
  <c r="K18" i="1"/>
  <c r="G18" i="1"/>
  <c r="F18" i="1"/>
  <c r="R17" i="1"/>
  <c r="K17" i="1"/>
  <c r="G17" i="1"/>
  <c r="L17" i="1" s="1"/>
  <c r="F17" i="1"/>
  <c r="R16" i="1"/>
  <c r="L16" i="1"/>
  <c r="K16" i="1"/>
  <c r="G16" i="1"/>
  <c r="F16" i="1"/>
  <c r="R15" i="1"/>
  <c r="K15" i="1"/>
  <c r="G15" i="1"/>
  <c r="L15" i="1" s="1"/>
  <c r="F15" i="1"/>
  <c r="R14" i="1"/>
  <c r="L14" i="1"/>
  <c r="K14" i="1"/>
  <c r="G14" i="1"/>
  <c r="F14" i="1"/>
  <c r="R13" i="1"/>
  <c r="K13" i="1"/>
  <c r="G13" i="1"/>
  <c r="L13" i="1" s="1"/>
  <c r="F13" i="1"/>
  <c r="R12" i="1"/>
  <c r="L12" i="1"/>
  <c r="K12" i="1"/>
  <c r="G12" i="1"/>
  <c r="F12" i="1"/>
  <c r="R11" i="1"/>
  <c r="K11" i="1"/>
  <c r="G11" i="1"/>
  <c r="L11" i="1" s="1"/>
  <c r="F11" i="1"/>
  <c r="R10" i="1"/>
  <c r="L10" i="1"/>
  <c r="K10" i="1"/>
  <c r="G10" i="1"/>
  <c r="F10" i="1"/>
  <c r="F61" i="1" s="1"/>
  <c r="G61" i="1" l="1"/>
  <c r="G78" i="1" s="1"/>
  <c r="N68" i="1"/>
  <c r="O95" i="1"/>
  <c r="A95" i="1"/>
  <c r="A78" i="1"/>
  <c r="L61" i="1"/>
  <c r="K78" i="1"/>
  <c r="O78" i="1"/>
  <c r="G95" i="1"/>
  <c r="L95" i="1" s="1"/>
  <c r="E95" i="1"/>
  <c r="F82" i="1"/>
  <c r="F92" i="1" s="1"/>
  <c r="L68" i="1"/>
  <c r="F76" i="1"/>
  <c r="F78" i="1" s="1"/>
  <c r="L76" i="1"/>
  <c r="N89" i="1"/>
  <c r="N87" i="1"/>
  <c r="N85" i="1"/>
  <c r="N83" i="1"/>
  <c r="N58" i="1"/>
  <c r="N56" i="1"/>
  <c r="N54" i="1"/>
  <c r="N52" i="1"/>
  <c r="N50" i="1"/>
  <c r="N48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0" i="1"/>
  <c r="N88" i="1"/>
  <c r="N86" i="1"/>
  <c r="N59" i="1"/>
  <c r="N53" i="1"/>
  <c r="N44" i="1"/>
  <c r="N40" i="1"/>
  <c r="N38" i="1"/>
  <c r="N28" i="1"/>
  <c r="N26" i="1"/>
  <c r="N24" i="1"/>
  <c r="N22" i="1"/>
  <c r="N20" i="1"/>
  <c r="N18" i="1"/>
  <c r="N16" i="1"/>
  <c r="N14" i="1"/>
  <c r="N12" i="1"/>
  <c r="N10" i="1"/>
  <c r="N74" i="1"/>
  <c r="N76" i="1" s="1"/>
  <c r="N72" i="1"/>
  <c r="N66" i="1"/>
  <c r="N84" i="1"/>
  <c r="N82" i="1"/>
  <c r="N92" i="1" s="1"/>
  <c r="N57" i="1"/>
  <c r="N55" i="1"/>
  <c r="N51" i="1"/>
  <c r="N49" i="1"/>
  <c r="N47" i="1"/>
  <c r="N42" i="1"/>
  <c r="N36" i="1"/>
  <c r="N34" i="1"/>
  <c r="N32" i="1"/>
  <c r="N30" i="1"/>
  <c r="B78" i="1"/>
  <c r="H78" i="1"/>
  <c r="L78" i="1" s="1"/>
  <c r="P78" i="1"/>
  <c r="R78" i="1" s="1"/>
  <c r="R92" i="1"/>
  <c r="K92" i="1"/>
  <c r="L92" i="1"/>
  <c r="N61" i="1" l="1"/>
  <c r="N78" i="1" s="1"/>
  <c r="F95" i="1"/>
  <c r="N95" i="1" l="1"/>
</calcChain>
</file>

<file path=xl/sharedStrings.xml><?xml version="1.0" encoding="utf-8"?>
<sst xmlns="http://schemas.openxmlformats.org/spreadsheetml/2006/main" count="345" uniqueCount="123">
  <si>
    <t>LINK LIBRARY STATISTICS SUMMARY</t>
  </si>
  <si>
    <t>INTERAGENCY LOANS</t>
  </si>
  <si>
    <t>CHECKOUT SUMMARY INFORMATION</t>
  </si>
  <si>
    <t>HOLDS SUMMARY INFORMATION</t>
  </si>
  <si>
    <t>LINK INTERAGENCY</t>
  </si>
  <si>
    <t>ADJUSTED FOR SCID</t>
  </si>
  <si>
    <t>RAW DATA — RMIS</t>
  </si>
  <si>
    <t>AND INTERNAL MPL</t>
  </si>
  <si>
    <t>PERCENT</t>
  </si>
  <si>
    <t>CKOS</t>
  </si>
  <si>
    <t>PREVIOUS</t>
  </si>
  <si>
    <t>CKO FROM</t>
  </si>
  <si>
    <t>HOLDS</t>
  </si>
  <si>
    <t>YTD</t>
  </si>
  <si>
    <t>LAST YTD</t>
  </si>
  <si>
    <t>TOTAL</t>
  </si>
  <si>
    <t>SCIDS</t>
  </si>
  <si>
    <t>THIS</t>
  </si>
  <si>
    <t>YEAR TO</t>
  </si>
  <si>
    <t>CHANGE IN</t>
  </si>
  <si>
    <t>OWN COLL</t>
  </si>
  <si>
    <t>PLACED</t>
  </si>
  <si>
    <t>OF LINK</t>
  </si>
  <si>
    <t>FILLED</t>
  </si>
  <si>
    <t>LOANED</t>
  </si>
  <si>
    <t>BORROWED</t>
  </si>
  <si>
    <t>MONTH</t>
  </si>
  <si>
    <t>DATE CKO</t>
  </si>
  <si>
    <t>YTD CKO</t>
  </si>
  <si>
    <t>THIS MO</t>
  </si>
  <si>
    <t>YTD HOLDS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</si>
  <si>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</si>
  <si>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</si>
  <si>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</si>
  <si>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</si>
  <si>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</si>
  <si>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</si>
  <si>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</si>
  <si>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</si>
  <si>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</si>
  <si>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</si>
  <si>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</si>
  <si>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</si>
  <si>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</si>
  <si>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</si>
  <si>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</si>
  <si>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</si>
  <si>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</si>
  <si>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</si>
  <si>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</si>
  <si>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</si>
  <si>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NA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</si>
  <si>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</si>
  <si>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</si>
  <si>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</si>
  <si>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</si>
  <si>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</si>
  <si>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</si>
  <si>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</si>
  <si>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</si>
  <si>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</si>
  <si>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</si>
  <si>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</si>
  <si>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</si>
  <si>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</si>
  <si>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</si>
  <si>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</si>
  <si>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</si>
  <si>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</si>
  <si>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</si>
  <si>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</si>
  <si>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</si>
  <si>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</si>
  <si>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</si>
  <si>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</si>
  <si>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</si>
  <si>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</si>
  <si>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</si>
  <si>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</si>
  <si>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</si>
  <si>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</si>
  <si>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</si>
  <si>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---------</t>
  </si>
  <si>
    <t>NONMPL/NONPOCO</t>
  </si>
  <si>
    <t>DCL</t>
  </si>
  <si>
    <t>MRS</t>
  </si>
  <si>
    <t>TOTAL DCLS</t>
  </si>
  <si>
    <t>STP</t>
  </si>
  <si>
    <t>ALM</t>
  </si>
  <si>
    <t>PLO</t>
  </si>
  <si>
    <t>ROS</t>
  </si>
  <si>
    <t>TOTAL POCO</t>
  </si>
  <si>
    <t>TOTAL NONMPL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</si>
  <si>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</si>
  <si>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</si>
  <si>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</si>
  <si>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</si>
  <si>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</si>
  <si>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</si>
  <si>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</si>
  <si>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</si>
  <si>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</si>
  <si>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TOTAL MPL</t>
  </si>
  <si>
    <t>=========</t>
  </si>
  <si>
    <t>TOTAL LINK</t>
  </si>
  <si>
    <t>INTERNAL MPL INTERAGENCY DETAIL</t>
  </si>
  <si>
    <t>MADISON (MAD)</t>
  </si>
  <si>
    <t>HIGH POINT</t>
  </si>
  <si>
    <t>HAWTHORNE</t>
  </si>
  <si>
    <t>LAKEVIEW</t>
  </si>
  <si>
    <t>MEADOWRIDGE</t>
  </si>
  <si>
    <t>MONROE STREET</t>
  </si>
  <si>
    <t>LOAN TO</t>
  </si>
  <si>
    <t>BOR FROM</t>
  </si>
  <si>
    <t>--------</t>
  </si>
  <si>
    <t>PINNEY</t>
  </si>
  <si>
    <t>SEQUOYA</t>
  </si>
  <si>
    <t>SOUTH MADISON</t>
  </si>
  <si>
    <t>TOTAL MPL INTERNAL</t>
  </si>
  <si>
    <t>INTERNAL DCLS INTERAGENCY DETAIL</t>
  </si>
  <si>
    <t>TOTAL DCLS INTERNAL</t>
  </si>
  <si>
    <t>INTERNAL PORTAGE CO INTERAGENCY DETAIL</t>
  </si>
  <si>
    <t>TOTAL POCO INTERNAL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</si>
</sst>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_(\$* #,##0.00_);_(\$* \(#,##0.00\);_(\$* \-??_);_(@_)"/>
  </numFmts>
  <fonts count="6" x14ac:knownFonts="1">
    <font>
      <sz val="10"/>
      <color rgb="FF000000"/>
      <name val="Arial"/>
      <family val="2"/>
      <charset val="1"/>
    </font>
    <font>
      <sz val="8"/>
      <color rgb="FF000000"/>
      <name val="Courier New"/>
      <family val="3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C0C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0" fontId="1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1" fillId="0" borderId="0" xfId="0" applyFont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0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1" fillId="0" borderId="3" xfId="0" applyFont="1" applyBorder="1"/>
    <xf numFmtId="0" fontId="3" fillId="0" borderId="8" xfId="0" applyFont="1" applyBorder="1"/>
    <xf numFmtId="0" fontId="1" fillId="0" borderId="2" xfId="0" applyFont="1" applyBorder="1"/>
    <xf numFmtId="0" fontId="3" fillId="0" borderId="1" xfId="0" applyFont="1" applyBorder="1"/>
    <xf numFmtId="0" fontId="0" fillId="0" borderId="3" xfId="0" applyBorder="1"/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3" xfId="0" applyNumberFormat="1" applyFont="1" applyBorder="1" applyAlignment="1">
      <alignment horizontal="right"/>
    </xf>
    <xf numFmtId="0" fontId="3" fillId="0" borderId="0" xfId="0" applyFont="1"/>
    <xf numFmtId="0" fontId="3" fillId="0" borderId="5" xfId="0" applyFont="1" applyBorder="1"/>
    <xf numFmtId="0" fontId="3" fillId="0" borderId="2" xfId="0" applyFont="1" applyBorder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left"/>
      <protection locked="0"/>
    </xf>
    <xf numFmtId="10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6" xfId="0" applyFont="1" applyBorder="1"/>
    <xf numFmtId="164" fontId="3" fillId="0" borderId="0" xfId="0" applyNumberFormat="1" applyFont="1" applyAlignment="1">
      <alignment horizontal="left"/>
    </xf>
    <xf numFmtId="0" fontId="3" fillId="0" borderId="5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showGridLines="0" tabSelected="1" topLeftCell="D1" zoomScaleNormal="100" workbookViewId="0">
      <pane ySplit="2310" topLeftCell="A10"/>
      <selection activeCell="D1" sqref="D1"/>
      <selection pane="bottomLeft" activeCell="Q96" sqref="Q96"/>
    </sheetView>
  </sheetViews>
  <sheetFormatPr defaultColWidth="11.42578125" defaultRowHeight="12.75" x14ac:dyDescent="0.2"/>
  <cols>
    <col min="1" max="3" width="9.140625" style="11" hidden="1" customWidth="1"/>
    <col min="4" max="4" width="11" style="20" customWidth="1"/>
    <col min="5" max="10" width="10" style="20" customWidth="1"/>
    <col min="11" max="11" width="11" style="1" customWidth="1"/>
    <col min="12" max="12" width="10" style="1" customWidth="1"/>
    <col min="13" max="13" width="10" style="20" customWidth="1"/>
    <col min="14" max="14" width="10" style="1" customWidth="1"/>
    <col min="15" max="16" width="10" style="20" customWidth="1"/>
    <col min="17" max="17" width="9.7109375" style="20" customWidth="1"/>
    <col min="18" max="18" width="11" style="1" customWidth="1"/>
    <col min="19" max="19" width="9.140625" style="11" customWidth="1"/>
    <col min="20" max="42" width="9.42578125" style="11" customWidth="1"/>
    <col min="43" max="1025" width="9.140625" style="11" customWidth="1"/>
  </cols>
  <sheetData>
    <row r="1" spans="1:18" ht="11.25" customHeight="1" x14ac:dyDescent="0.2">
      <c r="E1" s="40" t="s">
        <v>0</v>
      </c>
      <c r="F1" s="41"/>
      <c r="G1" s="41"/>
      <c r="H1" s="41"/>
      <c r="I1" s="41"/>
      <c r="J1" s="42">
        <v>44896</v>
      </c>
      <c r="K1" s="43"/>
    </row>
    <row r="3" spans="1:18" ht="11.25" customHeight="1" x14ac:dyDescent="0.2">
      <c r="F3" s="44" t="s">
        <v>1</v>
      </c>
      <c r="G3" s="41"/>
      <c r="H3" s="45" t="s">
        <v>2</v>
      </c>
      <c r="I3" s="41"/>
      <c r="J3" s="41"/>
      <c r="K3" s="43"/>
      <c r="L3" s="16"/>
      <c r="M3" s="45" t="s">
        <v>3</v>
      </c>
      <c r="N3" s="43"/>
      <c r="O3" s="41"/>
      <c r="P3" s="41"/>
    </row>
    <row r="4" spans="1:18" ht="11.25" customHeight="1" x14ac:dyDescent="0.2">
      <c r="A4" s="46" t="s">
        <v>4</v>
      </c>
      <c r="B4" s="47"/>
      <c r="F4" s="44" t="s">
        <v>5</v>
      </c>
      <c r="G4" s="41"/>
      <c r="L4" s="16"/>
      <c r="M4" s="4"/>
      <c r="N4" s="2"/>
      <c r="O4" s="4"/>
      <c r="P4" s="4"/>
    </row>
    <row r="5" spans="1:18" ht="11.25" customHeight="1" x14ac:dyDescent="0.2">
      <c r="A5" s="46" t="s">
        <v>6</v>
      </c>
      <c r="B5" s="47"/>
      <c r="F5" s="44" t="s">
        <v>7</v>
      </c>
      <c r="G5" s="41"/>
      <c r="L5" s="17" t="s">
        <v>8</v>
      </c>
      <c r="M5" s="4"/>
      <c r="N5" s="2"/>
      <c r="O5" s="4"/>
      <c r="P5" s="4"/>
    </row>
    <row r="6" spans="1:18" ht="11.25" customHeight="1" x14ac:dyDescent="0.2">
      <c r="F6" s="4"/>
      <c r="G6" s="13"/>
      <c r="H6" s="4" t="s">
        <v>9</v>
      </c>
      <c r="J6" s="4" t="s">
        <v>10</v>
      </c>
      <c r="K6" s="2" t="s">
        <v>8</v>
      </c>
      <c r="L6" s="17" t="s">
        <v>11</v>
      </c>
      <c r="M6" s="4" t="s">
        <v>12</v>
      </c>
      <c r="N6" s="2" t="s">
        <v>8</v>
      </c>
      <c r="O6" s="4" t="s">
        <v>12</v>
      </c>
      <c r="P6" s="4" t="s">
        <v>13</v>
      </c>
      <c r="Q6" s="4" t="s">
        <v>14</v>
      </c>
      <c r="R6" s="2" t="s">
        <v>8</v>
      </c>
    </row>
    <row r="7" spans="1:18" ht="11.25" customHeight="1" x14ac:dyDescent="0.2">
      <c r="A7" s="36" t="s">
        <v>15</v>
      </c>
      <c r="B7" s="36" t="s">
        <v>15</v>
      </c>
      <c r="E7" s="4" t="s">
        <v>16</v>
      </c>
      <c r="F7" s="4" t="s">
        <v>15</v>
      </c>
      <c r="G7" s="13" t="s">
        <v>15</v>
      </c>
      <c r="H7" s="4" t="s">
        <v>17</v>
      </c>
      <c r="I7" s="4" t="s">
        <v>18</v>
      </c>
      <c r="J7" s="4" t="s">
        <v>18</v>
      </c>
      <c r="K7" s="2" t="s">
        <v>19</v>
      </c>
      <c r="L7" s="17" t="s">
        <v>20</v>
      </c>
      <c r="M7" s="4" t="s">
        <v>21</v>
      </c>
      <c r="N7" s="2" t="s">
        <v>22</v>
      </c>
      <c r="O7" s="4" t="s">
        <v>23</v>
      </c>
      <c r="P7" s="4" t="s">
        <v>12</v>
      </c>
      <c r="Q7" s="4" t="s">
        <v>12</v>
      </c>
      <c r="R7" s="2" t="s">
        <v>19</v>
      </c>
    </row>
    <row r="8" spans="1:18" ht="11.25" customHeight="1" x14ac:dyDescent="0.2">
      <c r="A8" s="36" t="s">
        <v>24</v>
      </c>
      <c r="B8" s="36" t="s">
        <v>25</v>
      </c>
      <c r="E8" s="4" t="s">
        <v>25</v>
      </c>
      <c r="F8" s="4" t="s">
        <v>24</v>
      </c>
      <c r="G8" s="13" t="s">
        <v>25</v>
      </c>
      <c r="H8" s="4" t="s">
        <v>26</v>
      </c>
      <c r="I8" s="4" t="s">
        <v>27</v>
      </c>
      <c r="J8" s="4" t="s">
        <v>27</v>
      </c>
      <c r="K8" s="2" t="s">
        <v>28</v>
      </c>
      <c r="L8" s="17" t="s">
        <v>29</v>
      </c>
      <c r="M8" s="4" t="s">
        <v>29</v>
      </c>
      <c r="N8" s="2" t="s">
        <v>12</v>
      </c>
      <c r="O8" s="4" t="s">
        <v>29</v>
      </c>
      <c r="P8" s="4" t="s">
        <v>21</v>
      </c>
      <c r="Q8" s="4" t="s">
        <v>21</v>
      </c>
      <c r="R8" s="2" t="s">
        <v>30</v>
      </c>
    </row>
    <row r="9" spans="1:18" ht="11.25" customHeight="1" x14ac:dyDescent="0.2">
      <c r="F9" s="4"/>
      <c r="G9" s="13"/>
      <c r="L9" s="16"/>
      <c r="M9" s="4"/>
      <c r="N9" s="2"/>
      <c r="O9" s="4"/>
      <c r="P9" s="4"/>
    </row>
    <row r="10" spans="1:18" ht="11.25" customHeight="1" x14ac:dyDescent="0.2">
      <c r="A10" s="3">
        <v>2585</v>
      </c>
      <c r="B10" s="3">
        <v>1386</v>
      </c>
      <c r="D10" s="9" t="s">
        <v>31</v>
      </c>
      <c r="E10" s="8">
        <v>4</v>
      </c>
      <c r="F10" s="9">
        <f t="shared" ref="F10:G13" si="0">A10</f>
        <v>2585</v>
      </c>
      <c r="G10" s="12">
        <f t="shared" si="0"/>
        <v>1386</v>
      </c>
      <c r="H10" s="8">
        <v>4101</v>
      </c>
      <c r="I10" s="8">
        <v>51307</v>
      </c>
      <c r="J10" s="8">
        <v>41568</v>
      </c>
      <c r="K10" s="10">
        <f t="shared" ref="K10:K59" si="1">(I10-J10)/J10</f>
        <v>0.23429080061585836</v>
      </c>
      <c r="L10" s="18">
        <f t="shared" ref="L10:L59" si="2">(H10-G10)/H10</f>
        <v>0.66203365032918804</v>
      </c>
      <c r="M10" s="8">
        <v>1156</v>
      </c>
      <c r="N10" s="10">
        <f t="shared" ref="N10:N59" si="3">M10/allholds</f>
        <v>5.7834990169052273E-3</v>
      </c>
      <c r="O10" s="8">
        <v>1083</v>
      </c>
      <c r="P10" s="8">
        <v>15361</v>
      </c>
      <c r="Q10" s="9">
        <v>15023</v>
      </c>
      <c r="R10" s="10">
        <f t="shared" ref="R10:R59" si="4">(P10-Q10)/Q10</f>
        <v>2.249883511948346E-2</v>
      </c>
    </row>
    <row r="11" spans="1:18" ht="11.25" customHeight="1" x14ac:dyDescent="0.2">
      <c r="A11" s="3">
        <v>625</v>
      </c>
      <c r="B11" s="3">
        <v>605</v>
      </c>
      <c r="D11" s="4" t="s">
        <v>32</v>
      </c>
      <c r="E11" s="6">
        <v>0</v>
      </c>
      <c r="F11" s="4">
        <f t="shared" si="0"/>
        <v>625</v>
      </c>
      <c r="G11" s="13">
        <f t="shared" si="0"/>
        <v>605</v>
      </c>
      <c r="H11" s="6">
        <v>1258</v>
      </c>
      <c r="I11" s="6">
        <v>14180</v>
      </c>
      <c r="J11" s="6">
        <v>13194</v>
      </c>
      <c r="K11" s="2">
        <f t="shared" si="1"/>
        <v>7.473093830529029E-2</v>
      </c>
      <c r="L11" s="17">
        <f t="shared" si="2"/>
        <v>0.51907790143084265</v>
      </c>
      <c r="M11" s="6">
        <v>385</v>
      </c>
      <c r="N11" s="2">
        <f t="shared" si="3"/>
        <v>1.926165330024665E-3</v>
      </c>
      <c r="O11" s="6">
        <v>407</v>
      </c>
      <c r="P11" s="6">
        <v>4822</v>
      </c>
      <c r="Q11" s="4">
        <v>4029</v>
      </c>
      <c r="R11" s="2">
        <f t="shared" si="4"/>
        <v>0.19682303301067261</v>
      </c>
    </row>
    <row r="12" spans="1:18" ht="11.25" customHeight="1" x14ac:dyDescent="0.2">
      <c r="A12" s="3">
        <v>4659</v>
      </c>
      <c r="B12" s="3">
        <v>4766</v>
      </c>
      <c r="D12" s="4" t="s">
        <v>33</v>
      </c>
      <c r="E12" s="6">
        <v>59</v>
      </c>
      <c r="F12" s="14">
        <f t="shared" si="0"/>
        <v>4659</v>
      </c>
      <c r="G12" s="15">
        <f t="shared" si="0"/>
        <v>4766</v>
      </c>
      <c r="H12" s="6">
        <v>12929</v>
      </c>
      <c r="I12" s="6">
        <v>168160</v>
      </c>
      <c r="J12" s="6">
        <v>157305</v>
      </c>
      <c r="K12" s="2">
        <f t="shared" si="1"/>
        <v>6.9006071008550274E-2</v>
      </c>
      <c r="L12" s="19">
        <f t="shared" si="2"/>
        <v>0.63137133575682569</v>
      </c>
      <c r="M12" s="6">
        <v>4938</v>
      </c>
      <c r="N12" s="2">
        <f t="shared" si="3"/>
        <v>2.4704946492628041E-2</v>
      </c>
      <c r="O12" s="6">
        <v>4007</v>
      </c>
      <c r="P12" s="6">
        <v>59086</v>
      </c>
      <c r="Q12" s="4">
        <v>60055</v>
      </c>
      <c r="R12" s="2">
        <f t="shared" si="4"/>
        <v>-1.6135209391391226E-2</v>
      </c>
    </row>
    <row r="13" spans="1:18" ht="11.25" customHeight="1" x14ac:dyDescent="0.2">
      <c r="A13" s="3">
        <v>1145</v>
      </c>
      <c r="B13" s="3">
        <v>830</v>
      </c>
      <c r="D13" s="9" t="s">
        <v>34</v>
      </c>
      <c r="E13" s="8">
        <v>7</v>
      </c>
      <c r="F13" s="9">
        <f t="shared" si="0"/>
        <v>1145</v>
      </c>
      <c r="G13" s="12">
        <f t="shared" si="0"/>
        <v>830</v>
      </c>
      <c r="H13" s="8">
        <v>1550</v>
      </c>
      <c r="I13" s="8">
        <v>23521</v>
      </c>
      <c r="J13" s="8">
        <v>19756</v>
      </c>
      <c r="K13" s="10">
        <f t="shared" si="1"/>
        <v>0.19057501518526018</v>
      </c>
      <c r="L13" s="18">
        <f t="shared" si="2"/>
        <v>0.46451612903225808</v>
      </c>
      <c r="M13" s="8">
        <v>501</v>
      </c>
      <c r="N13" s="10">
        <f t="shared" si="3"/>
        <v>2.5065164424476808E-3</v>
      </c>
      <c r="O13" s="8">
        <v>523</v>
      </c>
      <c r="P13" s="8">
        <v>8735</v>
      </c>
      <c r="Q13" s="9">
        <v>7241</v>
      </c>
      <c r="R13" s="10">
        <f t="shared" si="4"/>
        <v>0.20632509321916861</v>
      </c>
    </row>
    <row r="14" spans="1:18" ht="11.25" customHeight="1" x14ac:dyDescent="0.2">
      <c r="A14" s="3">
        <v>1592</v>
      </c>
      <c r="B14" s="3">
        <v>1511</v>
      </c>
      <c r="D14" s="4" t="s">
        <v>35</v>
      </c>
      <c r="E14" s="6">
        <v>16</v>
      </c>
      <c r="F14" s="4">
        <f>A14</f>
        <v>1592</v>
      </c>
      <c r="G14" s="13">
        <f>B14</f>
        <v>1511</v>
      </c>
      <c r="H14" s="6">
        <v>3858</v>
      </c>
      <c r="I14" s="6">
        <v>62891</v>
      </c>
      <c r="J14" s="6">
        <v>53487</v>
      </c>
      <c r="K14" s="2">
        <f t="shared" si="1"/>
        <v>0.1758184231682465</v>
      </c>
      <c r="L14" s="17">
        <f t="shared" si="2"/>
        <v>0.60834629341627788</v>
      </c>
      <c r="M14" s="6">
        <v>1429</v>
      </c>
      <c r="N14" s="2">
        <f t="shared" si="3"/>
        <v>7.1493253418318083E-3</v>
      </c>
      <c r="O14" s="6">
        <v>1172</v>
      </c>
      <c r="P14" s="6">
        <v>18409</v>
      </c>
      <c r="Q14" s="4">
        <v>18445</v>
      </c>
      <c r="R14" s="2">
        <f t="shared" si="4"/>
        <v>-1.9517484413120087E-3</v>
      </c>
    </row>
    <row r="15" spans="1:18" ht="11.25" customHeight="1" x14ac:dyDescent="0.2">
      <c r="A15" s="3">
        <v>1561</v>
      </c>
      <c r="B15" s="3">
        <v>1247</v>
      </c>
      <c r="D15" s="4" t="s">
        <v>36</v>
      </c>
      <c r="E15" s="6">
        <v>16</v>
      </c>
      <c r="F15" s="14">
        <f t="shared" ref="F15:F48" si="5">A15</f>
        <v>1561</v>
      </c>
      <c r="G15" s="15">
        <f t="shared" ref="G15:G48" si="6">B15</f>
        <v>1247</v>
      </c>
      <c r="H15" s="6">
        <v>2653</v>
      </c>
      <c r="I15" s="6">
        <v>43517</v>
      </c>
      <c r="J15" s="6">
        <v>36246</v>
      </c>
      <c r="K15" s="2">
        <f t="shared" si="1"/>
        <v>0.20060144567676433</v>
      </c>
      <c r="L15" s="19">
        <f t="shared" si="2"/>
        <v>0.52996607614021862</v>
      </c>
      <c r="M15" s="6">
        <v>1122</v>
      </c>
      <c r="N15" s="2">
        <f t="shared" si="3"/>
        <v>5.6133961046433093E-3</v>
      </c>
      <c r="O15" s="6">
        <v>1009</v>
      </c>
      <c r="P15" s="6">
        <v>16114</v>
      </c>
      <c r="Q15" s="4">
        <v>15307</v>
      </c>
      <c r="R15" s="2">
        <f t="shared" si="4"/>
        <v>5.2720977330633044E-2</v>
      </c>
    </row>
    <row r="16" spans="1:18" ht="11.25" customHeight="1" x14ac:dyDescent="0.2">
      <c r="A16" s="3">
        <v>2386</v>
      </c>
      <c r="B16" s="3">
        <v>1396</v>
      </c>
      <c r="D16" s="9" t="s">
        <v>37</v>
      </c>
      <c r="E16" s="8">
        <v>14</v>
      </c>
      <c r="F16" s="9">
        <f t="shared" si="5"/>
        <v>2386</v>
      </c>
      <c r="G16" s="12">
        <f t="shared" si="6"/>
        <v>1396</v>
      </c>
      <c r="H16" s="8">
        <v>2920</v>
      </c>
      <c r="I16" s="8">
        <v>43160</v>
      </c>
      <c r="J16" s="8">
        <v>35532</v>
      </c>
      <c r="K16" s="10">
        <f t="shared" si="1"/>
        <v>0.21467972531802318</v>
      </c>
      <c r="L16" s="18">
        <f t="shared" si="2"/>
        <v>0.5219178082191781</v>
      </c>
      <c r="M16" s="8">
        <v>961</v>
      </c>
      <c r="N16" s="10">
        <f t="shared" si="3"/>
        <v>4.8079087848148126E-3</v>
      </c>
      <c r="O16" s="8">
        <v>932</v>
      </c>
      <c r="P16" s="8">
        <v>15461</v>
      </c>
      <c r="Q16" s="9">
        <v>15823</v>
      </c>
      <c r="R16" s="10">
        <f t="shared" si="4"/>
        <v>-2.287808885799153E-2</v>
      </c>
    </row>
    <row r="17" spans="1:18" ht="11.25" customHeight="1" x14ac:dyDescent="0.2">
      <c r="A17" s="3">
        <v>504</v>
      </c>
      <c r="B17" s="3">
        <v>531</v>
      </c>
      <c r="D17" s="4" t="s">
        <v>38</v>
      </c>
      <c r="E17" s="6">
        <v>16</v>
      </c>
      <c r="F17" s="4">
        <f t="shared" si="5"/>
        <v>504</v>
      </c>
      <c r="G17" s="13">
        <f t="shared" si="6"/>
        <v>531</v>
      </c>
      <c r="H17" s="6">
        <v>803</v>
      </c>
      <c r="I17" s="6">
        <v>14215</v>
      </c>
      <c r="J17" s="6">
        <v>13631</v>
      </c>
      <c r="K17" s="2">
        <f t="shared" si="1"/>
        <v>4.2843518450590569E-2</v>
      </c>
      <c r="L17" s="17">
        <f t="shared" si="2"/>
        <v>0.33872976338729766</v>
      </c>
      <c r="M17" s="6">
        <v>279</v>
      </c>
      <c r="N17" s="2">
        <f t="shared" si="3"/>
        <v>1.3958444859139779E-3</v>
      </c>
      <c r="O17" s="6">
        <v>237</v>
      </c>
      <c r="P17" s="6">
        <v>4551</v>
      </c>
      <c r="Q17" s="4">
        <v>5259</v>
      </c>
      <c r="R17" s="2">
        <f t="shared" si="4"/>
        <v>-0.13462635482030805</v>
      </c>
    </row>
    <row r="18" spans="1:18" ht="11.25" customHeight="1" x14ac:dyDescent="0.2">
      <c r="A18" s="3">
        <v>1435</v>
      </c>
      <c r="B18" s="3">
        <v>2015</v>
      </c>
      <c r="D18" s="4" t="s">
        <v>39</v>
      </c>
      <c r="E18" s="6">
        <v>14</v>
      </c>
      <c r="F18" s="14">
        <f t="shared" si="5"/>
        <v>1435</v>
      </c>
      <c r="G18" s="15">
        <f t="shared" si="6"/>
        <v>2015</v>
      </c>
      <c r="H18" s="6">
        <v>4114</v>
      </c>
      <c r="I18" s="6">
        <v>54539</v>
      </c>
      <c r="J18" s="6">
        <v>49497</v>
      </c>
      <c r="K18" s="2">
        <f t="shared" si="1"/>
        <v>0.10186475948037255</v>
      </c>
      <c r="L18" s="19">
        <f t="shared" si="2"/>
        <v>0.51020904229460384</v>
      </c>
      <c r="M18" s="6">
        <v>1506</v>
      </c>
      <c r="N18" s="2">
        <f t="shared" si="3"/>
        <v>7.5345584078367412E-3</v>
      </c>
      <c r="O18" s="6">
        <v>1544</v>
      </c>
      <c r="P18" s="6">
        <v>20239</v>
      </c>
      <c r="Q18" s="4">
        <v>20269</v>
      </c>
      <c r="R18" s="2">
        <f t="shared" si="4"/>
        <v>-1.4800927524791553E-3</v>
      </c>
    </row>
    <row r="19" spans="1:18" ht="11.25" customHeight="1" x14ac:dyDescent="0.2">
      <c r="A19" s="3">
        <v>2366</v>
      </c>
      <c r="B19" s="3">
        <v>1561</v>
      </c>
      <c r="D19" s="9" t="s">
        <v>40</v>
      </c>
      <c r="E19" s="8">
        <v>19</v>
      </c>
      <c r="F19" s="9">
        <f t="shared" si="5"/>
        <v>2366</v>
      </c>
      <c r="G19" s="12">
        <f t="shared" si="6"/>
        <v>1561</v>
      </c>
      <c r="H19" s="8">
        <v>3873</v>
      </c>
      <c r="I19" s="8">
        <v>57265</v>
      </c>
      <c r="J19" s="8">
        <v>56783</v>
      </c>
      <c r="K19" s="10">
        <f t="shared" si="1"/>
        <v>8.4884560519873902E-3</v>
      </c>
      <c r="L19" s="18">
        <f t="shared" si="2"/>
        <v>0.59695326620191069</v>
      </c>
      <c r="M19" s="8">
        <v>1338</v>
      </c>
      <c r="N19" s="10">
        <f t="shared" si="3"/>
        <v>6.6940499001896143E-3</v>
      </c>
      <c r="O19" s="8">
        <v>1056</v>
      </c>
      <c r="P19" s="8">
        <v>19273</v>
      </c>
      <c r="Q19" s="9">
        <v>21947</v>
      </c>
      <c r="R19" s="10">
        <f t="shared" si="4"/>
        <v>-0.12183897571422063</v>
      </c>
    </row>
    <row r="20" spans="1:18" ht="11.25" customHeight="1" x14ac:dyDescent="0.2">
      <c r="A20" s="3">
        <v>1679</v>
      </c>
      <c r="B20" s="3">
        <v>1132</v>
      </c>
      <c r="D20" s="4" t="s">
        <v>41</v>
      </c>
      <c r="E20" s="6">
        <v>12</v>
      </c>
      <c r="F20" s="4">
        <f t="shared" si="5"/>
        <v>1679</v>
      </c>
      <c r="G20" s="13">
        <f t="shared" si="6"/>
        <v>1132</v>
      </c>
      <c r="H20" s="6">
        <v>2051</v>
      </c>
      <c r="I20" s="6">
        <v>28397</v>
      </c>
      <c r="J20" s="6">
        <v>30608</v>
      </c>
      <c r="K20" s="2">
        <f t="shared" si="1"/>
        <v>-7.2236016727652896E-2</v>
      </c>
      <c r="L20" s="17">
        <f t="shared" si="2"/>
        <v>0.44807411019015114</v>
      </c>
      <c r="M20" s="6">
        <v>851</v>
      </c>
      <c r="N20" s="2">
        <f t="shared" si="3"/>
        <v>4.2575758333791942E-3</v>
      </c>
      <c r="O20" s="6">
        <v>774</v>
      </c>
      <c r="P20" s="6">
        <v>12745</v>
      </c>
      <c r="Q20" s="4">
        <v>15350</v>
      </c>
      <c r="R20" s="2">
        <f t="shared" si="4"/>
        <v>-0.16970684039087947</v>
      </c>
    </row>
    <row r="21" spans="1:18" ht="11.25" customHeight="1" x14ac:dyDescent="0.2">
      <c r="A21" s="3">
        <v>5188</v>
      </c>
      <c r="B21" s="3">
        <v>4072</v>
      </c>
      <c r="D21" s="4" t="s">
        <v>42</v>
      </c>
      <c r="E21" s="6">
        <v>54</v>
      </c>
      <c r="F21" s="4">
        <f t="shared" si="5"/>
        <v>5188</v>
      </c>
      <c r="G21" s="13">
        <f t="shared" si="6"/>
        <v>4072</v>
      </c>
      <c r="H21" s="6">
        <v>13511</v>
      </c>
      <c r="I21" s="6">
        <v>185727</v>
      </c>
      <c r="J21" s="6">
        <v>190215</v>
      </c>
      <c r="K21" s="2">
        <f t="shared" si="1"/>
        <v>-2.3594353757590097E-2</v>
      </c>
      <c r="L21" s="17">
        <f t="shared" si="2"/>
        <v>0.69861594256531712</v>
      </c>
      <c r="M21" s="6">
        <v>3750</v>
      </c>
      <c r="N21" s="2">
        <f t="shared" si="3"/>
        <v>1.8761350617123359E-2</v>
      </c>
      <c r="O21" s="6">
        <v>3175</v>
      </c>
      <c r="P21" s="6">
        <v>55213</v>
      </c>
      <c r="Q21" s="4">
        <v>54959</v>
      </c>
      <c r="R21" s="2">
        <f t="shared" si="4"/>
        <v>4.6216270310595175E-3</v>
      </c>
    </row>
    <row r="22" spans="1:18" ht="11.25" customHeight="1" x14ac:dyDescent="0.2">
      <c r="A22" s="3">
        <v>6263</v>
      </c>
      <c r="B22" s="3">
        <v>7300</v>
      </c>
      <c r="D22" s="9" t="s">
        <v>43</v>
      </c>
      <c r="E22" s="8">
        <v>57</v>
      </c>
      <c r="F22" s="9">
        <f t="shared" si="5"/>
        <v>6263</v>
      </c>
      <c r="G22" s="12">
        <f t="shared" si="6"/>
        <v>7300</v>
      </c>
      <c r="H22" s="8">
        <v>23399</v>
      </c>
      <c r="I22" s="8">
        <v>306663</v>
      </c>
      <c r="J22" s="8">
        <v>237191</v>
      </c>
      <c r="K22" s="10">
        <f t="shared" si="1"/>
        <v>0.29289475570320966</v>
      </c>
      <c r="L22" s="18">
        <f t="shared" si="2"/>
        <v>0.68802085559211934</v>
      </c>
      <c r="M22" s="8">
        <v>7349</v>
      </c>
      <c r="N22" s="10">
        <f t="shared" si="3"/>
        <v>3.676724418273055E-2</v>
      </c>
      <c r="O22" s="8">
        <v>5900</v>
      </c>
      <c r="P22" s="8">
        <v>96172</v>
      </c>
      <c r="Q22" s="9">
        <v>104004</v>
      </c>
      <c r="R22" s="10">
        <f t="shared" si="4"/>
        <v>-7.5304795969385788E-2</v>
      </c>
    </row>
    <row r="23" spans="1:18" ht="11.25" customHeight="1" x14ac:dyDescent="0.2">
      <c r="A23" s="3">
        <v>501</v>
      </c>
      <c r="B23" s="3">
        <v>258</v>
      </c>
      <c r="D23" s="4" t="s">
        <v>44</v>
      </c>
      <c r="E23" s="6">
        <v>1</v>
      </c>
      <c r="F23" s="4">
        <f t="shared" si="5"/>
        <v>501</v>
      </c>
      <c r="G23" s="13">
        <f t="shared" si="6"/>
        <v>258</v>
      </c>
      <c r="H23" s="6">
        <v>439</v>
      </c>
      <c r="I23" s="6">
        <v>5233</v>
      </c>
      <c r="J23" s="6">
        <v>6798</v>
      </c>
      <c r="K23" s="2">
        <f t="shared" si="1"/>
        <v>-0.23021476904972052</v>
      </c>
      <c r="L23" s="17">
        <f t="shared" si="2"/>
        <v>0.41230068337129838</v>
      </c>
      <c r="M23" s="6">
        <v>212</v>
      </c>
      <c r="N23" s="2">
        <f t="shared" si="3"/>
        <v>1.060641688221374E-3</v>
      </c>
      <c r="O23" s="6">
        <v>203</v>
      </c>
      <c r="P23" s="6">
        <v>2274</v>
      </c>
      <c r="Q23" s="4">
        <v>3314</v>
      </c>
      <c r="R23" s="2">
        <f t="shared" si="4"/>
        <v>-0.31382015691007847</v>
      </c>
    </row>
    <row r="24" spans="1:18" ht="11.25" customHeight="1" x14ac:dyDescent="0.2">
      <c r="A24" s="3">
        <v>1804</v>
      </c>
      <c r="B24" s="3">
        <v>2162</v>
      </c>
      <c r="D24" s="4" t="s">
        <v>45</v>
      </c>
      <c r="E24" s="6">
        <v>22</v>
      </c>
      <c r="F24" s="4">
        <f t="shared" si="5"/>
        <v>1804</v>
      </c>
      <c r="G24" s="13">
        <f t="shared" si="6"/>
        <v>2162</v>
      </c>
      <c r="H24" s="6">
        <v>4358</v>
      </c>
      <c r="I24" s="6">
        <v>60439</v>
      </c>
      <c r="J24" s="6">
        <v>59382</v>
      </c>
      <c r="K24" s="2">
        <f t="shared" si="1"/>
        <v>1.7800006736047962E-2</v>
      </c>
      <c r="L24" s="17">
        <f t="shared" si="2"/>
        <v>0.50390087195961453</v>
      </c>
      <c r="M24" s="6">
        <v>1612</v>
      </c>
      <c r="N24" s="2">
        <f t="shared" si="3"/>
        <v>8.0648792519474287E-3</v>
      </c>
      <c r="O24" s="6">
        <v>1598</v>
      </c>
      <c r="P24" s="6">
        <v>25167</v>
      </c>
      <c r="Q24" s="4">
        <v>25646</v>
      </c>
      <c r="R24" s="2">
        <f t="shared" si="4"/>
        <v>-1.8677376588941745E-2</v>
      </c>
    </row>
    <row r="25" spans="1:18" ht="11.25" customHeight="1" x14ac:dyDescent="0.2">
      <c r="A25" s="3">
        <v>946</v>
      </c>
      <c r="B25" s="3">
        <v>855</v>
      </c>
      <c r="D25" s="9" t="s">
        <v>46</v>
      </c>
      <c r="E25" s="8">
        <v>15</v>
      </c>
      <c r="F25" s="9">
        <f t="shared" si="5"/>
        <v>946</v>
      </c>
      <c r="G25" s="12">
        <f t="shared" si="6"/>
        <v>855</v>
      </c>
      <c r="H25" s="8">
        <v>2361</v>
      </c>
      <c r="I25" s="8">
        <v>29487</v>
      </c>
      <c r="J25" s="8">
        <v>26821</v>
      </c>
      <c r="K25" s="10">
        <f t="shared" si="1"/>
        <v>9.9399724096789835E-2</v>
      </c>
      <c r="L25" s="18">
        <f t="shared" si="2"/>
        <v>0.63786531130876745</v>
      </c>
      <c r="M25" s="8">
        <v>693</v>
      </c>
      <c r="N25" s="10">
        <f t="shared" si="3"/>
        <v>3.4670975940443967E-3</v>
      </c>
      <c r="O25" s="8">
        <v>635</v>
      </c>
      <c r="P25" s="8">
        <v>9901</v>
      </c>
      <c r="Q25" s="9">
        <v>9948</v>
      </c>
      <c r="R25" s="10">
        <f t="shared" si="4"/>
        <v>-4.7245677523120224E-3</v>
      </c>
    </row>
    <row r="26" spans="1:18" ht="11.25" customHeight="1" x14ac:dyDescent="0.2">
      <c r="A26" s="3">
        <v>930</v>
      </c>
      <c r="B26" s="3">
        <v>1226</v>
      </c>
      <c r="D26" s="4" t="s">
        <v>47</v>
      </c>
      <c r="E26" s="6">
        <v>3</v>
      </c>
      <c r="F26" s="4">
        <f t="shared" si="5"/>
        <v>930</v>
      </c>
      <c r="G26" s="13">
        <f t="shared" si="6"/>
        <v>1226</v>
      </c>
      <c r="H26" s="6">
        <v>1793</v>
      </c>
      <c r="I26" s="6">
        <v>21396</v>
      </c>
      <c r="J26" s="6">
        <v>19565</v>
      </c>
      <c r="K26" s="2">
        <f t="shared" si="1"/>
        <v>9.3585484283158701E-2</v>
      </c>
      <c r="L26" s="17">
        <f t="shared" si="2"/>
        <v>0.31622978248745121</v>
      </c>
      <c r="M26" s="6">
        <v>836</v>
      </c>
      <c r="N26" s="2">
        <f t="shared" si="3"/>
        <v>4.1825304309107006E-3</v>
      </c>
      <c r="O26" s="6">
        <v>950</v>
      </c>
      <c r="P26" s="6">
        <v>10665</v>
      </c>
      <c r="Q26" s="4">
        <v>9642</v>
      </c>
      <c r="R26" s="2">
        <f t="shared" si="4"/>
        <v>0.10609831985065339</v>
      </c>
    </row>
    <row r="27" spans="1:18" ht="11.25" customHeight="1" x14ac:dyDescent="0.2">
      <c r="A27" s="3">
        <v>5377</v>
      </c>
      <c r="B27" s="3">
        <v>4170</v>
      </c>
      <c r="D27" s="4" t="s">
        <v>48</v>
      </c>
      <c r="E27" s="6">
        <v>63</v>
      </c>
      <c r="F27" s="4">
        <f t="shared" si="5"/>
        <v>5377</v>
      </c>
      <c r="G27" s="13">
        <f t="shared" si="6"/>
        <v>4170</v>
      </c>
      <c r="H27" s="6">
        <v>12124</v>
      </c>
      <c r="I27" s="6">
        <v>161847</v>
      </c>
      <c r="J27" s="6">
        <v>137706</v>
      </c>
      <c r="K27" s="2">
        <f t="shared" si="1"/>
        <v>0.17530826543505729</v>
      </c>
      <c r="L27" s="17">
        <f t="shared" si="2"/>
        <v>0.65605410755526228</v>
      </c>
      <c r="M27" s="6">
        <v>3912</v>
      </c>
      <c r="N27" s="2">
        <f t="shared" si="3"/>
        <v>1.9571840963783088E-2</v>
      </c>
      <c r="O27" s="6">
        <v>3364</v>
      </c>
      <c r="P27" s="6">
        <v>56054</v>
      </c>
      <c r="Q27" s="4">
        <v>56420</v>
      </c>
      <c r="R27" s="2">
        <f t="shared" si="4"/>
        <v>-6.4870613257710036E-3</v>
      </c>
    </row>
    <row r="28" spans="1:18" ht="11.25" customHeight="1" x14ac:dyDescent="0.2">
      <c r="A28" s="3">
        <v>6101</v>
      </c>
      <c r="B28" s="3">
        <v>5007</v>
      </c>
      <c r="D28" s="9" t="s">
        <v>49</v>
      </c>
      <c r="E28" s="8">
        <v>59</v>
      </c>
      <c r="F28" s="9">
        <f t="shared" si="5"/>
        <v>6101</v>
      </c>
      <c r="G28" s="12">
        <f t="shared" si="6"/>
        <v>5007</v>
      </c>
      <c r="H28" s="8">
        <v>16448</v>
      </c>
      <c r="I28" s="8">
        <v>233096</v>
      </c>
      <c r="J28" s="8">
        <v>204020</v>
      </c>
      <c r="K28" s="10">
        <f t="shared" si="1"/>
        <v>0.14251543966277816</v>
      </c>
      <c r="L28" s="18">
        <f t="shared" si="2"/>
        <v>0.69558608949416345</v>
      </c>
      <c r="M28" s="8">
        <v>4945</v>
      </c>
      <c r="N28" s="10">
        <f t="shared" si="3"/>
        <v>2.4739967680446669E-2</v>
      </c>
      <c r="O28" s="8">
        <v>4305</v>
      </c>
      <c r="P28" s="8">
        <v>67762</v>
      </c>
      <c r="Q28" s="9">
        <v>69468</v>
      </c>
      <c r="R28" s="10">
        <f t="shared" si="4"/>
        <v>-2.4558069902689009E-2</v>
      </c>
    </row>
    <row r="29" spans="1:18" ht="11.25" customHeight="1" x14ac:dyDescent="0.2">
      <c r="A29" s="3">
        <v>7722</v>
      </c>
      <c r="B29" s="3">
        <v>2537</v>
      </c>
      <c r="D29" s="4" t="s">
        <v>50</v>
      </c>
      <c r="E29" s="6">
        <v>15</v>
      </c>
      <c r="F29" s="4">
        <f t="shared" si="5"/>
        <v>7722</v>
      </c>
      <c r="G29" s="13">
        <f t="shared" si="6"/>
        <v>2537</v>
      </c>
      <c r="H29" s="6">
        <v>18362</v>
      </c>
      <c r="I29" s="6">
        <v>225324</v>
      </c>
      <c r="J29" s="6" t="s">
        <v>51</v>
      </c>
      <c r="K29" s="2" t="e">
        <f t="shared" si="1"/>
        <v>#VALUE!</v>
      </c>
      <c r="L29" s="17">
        <f t="shared" si="2"/>
        <v>0.86183422285154121</v>
      </c>
      <c r="M29" s="6">
        <v>3339</v>
      </c>
      <c r="N29" s="2">
        <f>M29/allholds</f>
        <v>1.6705106589486641E-2</v>
      </c>
      <c r="O29" s="6">
        <v>2848</v>
      </c>
      <c r="P29" s="6">
        <v>41332</v>
      </c>
      <c r="Q29" s="4" t="s">
        <v>51</v>
      </c>
      <c r="R29" s="2" t="e">
        <f t="shared" si="4"/>
        <v>#VALUE!</v>
      </c>
    </row>
    <row r="30" spans="1:18" ht="11.25" customHeight="1" x14ac:dyDescent="0.2">
      <c r="A30" s="3">
        <v>7986</v>
      </c>
      <c r="B30" s="3">
        <v>13854</v>
      </c>
      <c r="D30" s="4" t="s">
        <v>52</v>
      </c>
      <c r="E30" s="6">
        <v>121</v>
      </c>
      <c r="F30" s="4">
        <f t="shared" si="5"/>
        <v>7986</v>
      </c>
      <c r="G30" s="13">
        <f t="shared" si="6"/>
        <v>13854</v>
      </c>
      <c r="H30" s="6">
        <v>37930</v>
      </c>
      <c r="I30" s="6">
        <v>519310</v>
      </c>
      <c r="J30" s="6">
        <v>461679</v>
      </c>
      <c r="K30" s="2">
        <f t="shared" si="1"/>
        <v>0.12482915618860724</v>
      </c>
      <c r="L30" s="17">
        <f t="shared" si="2"/>
        <v>0.63474822040601109</v>
      </c>
      <c r="M30" s="6">
        <v>13344</v>
      </c>
      <c r="N30" s="2">
        <f t="shared" si="3"/>
        <v>6.6760390035971756E-2</v>
      </c>
      <c r="O30" s="6">
        <v>10983</v>
      </c>
      <c r="P30" s="6">
        <v>177310</v>
      </c>
      <c r="Q30" s="4">
        <v>204299</v>
      </c>
      <c r="R30" s="2">
        <f t="shared" si="4"/>
        <v>-0.13210539454427089</v>
      </c>
    </row>
    <row r="31" spans="1:18" ht="11.25" customHeight="1" x14ac:dyDescent="0.2">
      <c r="A31" s="3">
        <v>1044</v>
      </c>
      <c r="B31" s="3">
        <v>767</v>
      </c>
      <c r="D31" s="9" t="s">
        <v>53</v>
      </c>
      <c r="E31" s="8">
        <v>10</v>
      </c>
      <c r="F31" s="9">
        <f t="shared" si="5"/>
        <v>1044</v>
      </c>
      <c r="G31" s="12">
        <f t="shared" si="6"/>
        <v>767</v>
      </c>
      <c r="H31" s="8">
        <v>1328</v>
      </c>
      <c r="I31" s="8">
        <v>14198</v>
      </c>
      <c r="J31" s="8">
        <v>12970</v>
      </c>
      <c r="K31" s="10">
        <f t="shared" si="1"/>
        <v>9.4680030840400928E-2</v>
      </c>
      <c r="L31" s="18">
        <f t="shared" si="2"/>
        <v>0.42243975903614456</v>
      </c>
      <c r="M31" s="8">
        <v>393</v>
      </c>
      <c r="N31" s="10">
        <f t="shared" si="3"/>
        <v>1.9661895446745283E-3</v>
      </c>
      <c r="O31" s="8">
        <v>496</v>
      </c>
      <c r="P31" s="8">
        <v>5534</v>
      </c>
      <c r="Q31" s="9">
        <v>3945</v>
      </c>
      <c r="R31" s="10">
        <f t="shared" si="4"/>
        <v>0.40278833967046895</v>
      </c>
    </row>
    <row r="32" spans="1:18" ht="11.25" customHeight="1" x14ac:dyDescent="0.2">
      <c r="A32" s="3">
        <v>5103</v>
      </c>
      <c r="B32" s="3">
        <v>5512</v>
      </c>
      <c r="D32" s="4" t="s">
        <v>54</v>
      </c>
      <c r="E32" s="6">
        <v>65</v>
      </c>
      <c r="F32" s="4">
        <f t="shared" si="5"/>
        <v>5103</v>
      </c>
      <c r="G32" s="13">
        <f t="shared" si="6"/>
        <v>5512</v>
      </c>
      <c r="H32" s="6">
        <v>12893</v>
      </c>
      <c r="I32" s="6">
        <v>173779</v>
      </c>
      <c r="J32" s="6">
        <v>160544</v>
      </c>
      <c r="K32" s="2">
        <f t="shared" si="1"/>
        <v>8.2438459238588793E-2</v>
      </c>
      <c r="L32" s="17">
        <f t="shared" si="2"/>
        <v>0.57248119134414022</v>
      </c>
      <c r="M32" s="6">
        <v>4476</v>
      </c>
      <c r="N32" s="2">
        <f t="shared" si="3"/>
        <v>2.2393548096598444E-2</v>
      </c>
      <c r="O32" s="6">
        <v>4248</v>
      </c>
      <c r="P32" s="6">
        <v>66211</v>
      </c>
      <c r="Q32" s="4">
        <v>71421</v>
      </c>
      <c r="R32" s="2">
        <f t="shared" si="4"/>
        <v>-7.2947732459640716E-2</v>
      </c>
    </row>
    <row r="33" spans="1:18" ht="11.25" customHeight="1" x14ac:dyDescent="0.2">
      <c r="A33" s="3">
        <v>3598</v>
      </c>
      <c r="B33" s="3">
        <v>3117</v>
      </c>
      <c r="D33" s="4" t="s">
        <v>55</v>
      </c>
      <c r="E33" s="6">
        <v>14</v>
      </c>
      <c r="F33" s="4">
        <f t="shared" si="5"/>
        <v>3598</v>
      </c>
      <c r="G33" s="13">
        <f t="shared" si="6"/>
        <v>3117</v>
      </c>
      <c r="H33" s="6">
        <v>8606</v>
      </c>
      <c r="I33" s="6">
        <v>111710</v>
      </c>
      <c r="J33" s="6">
        <v>86925</v>
      </c>
      <c r="K33" s="2">
        <f t="shared" si="1"/>
        <v>0.28513085993672704</v>
      </c>
      <c r="L33" s="17">
        <f t="shared" si="2"/>
        <v>0.63781082965372993</v>
      </c>
      <c r="M33" s="6">
        <v>2526</v>
      </c>
      <c r="N33" s="2">
        <f t="shared" si="3"/>
        <v>1.2637645775694295E-2</v>
      </c>
      <c r="O33" s="6">
        <v>2386</v>
      </c>
      <c r="P33" s="6">
        <v>40145</v>
      </c>
      <c r="Q33" s="4">
        <v>42880</v>
      </c>
      <c r="R33" s="2">
        <f t="shared" si="4"/>
        <v>-6.3782649253731338E-2</v>
      </c>
    </row>
    <row r="34" spans="1:18" ht="11.25" customHeight="1" x14ac:dyDescent="0.2">
      <c r="A34" s="3">
        <v>4970</v>
      </c>
      <c r="B34" s="3">
        <v>4285</v>
      </c>
      <c r="D34" s="9" t="s">
        <v>56</v>
      </c>
      <c r="E34" s="8">
        <v>37</v>
      </c>
      <c r="F34" s="9">
        <f t="shared" si="5"/>
        <v>4970</v>
      </c>
      <c r="G34" s="12">
        <f t="shared" si="6"/>
        <v>4285</v>
      </c>
      <c r="H34" s="8">
        <v>12018</v>
      </c>
      <c r="I34" s="8">
        <v>161351</v>
      </c>
      <c r="J34" s="8">
        <v>138718</v>
      </c>
      <c r="K34" s="10">
        <f t="shared" si="1"/>
        <v>0.16315835003388168</v>
      </c>
      <c r="L34" s="18">
        <f t="shared" si="2"/>
        <v>0.64345148943251784</v>
      </c>
      <c r="M34" s="8">
        <v>3809</v>
      </c>
      <c r="N34" s="10">
        <f t="shared" si="3"/>
        <v>1.9056529200166102E-2</v>
      </c>
      <c r="O34" s="8">
        <v>3340</v>
      </c>
      <c r="P34" s="8">
        <v>51807</v>
      </c>
      <c r="Q34" s="9">
        <v>53032</v>
      </c>
      <c r="R34" s="10">
        <f t="shared" si="4"/>
        <v>-2.3099260823653642E-2</v>
      </c>
    </row>
    <row r="35" spans="1:18" ht="11.25" customHeight="1" x14ac:dyDescent="0.2">
      <c r="A35" s="3">
        <v>1294</v>
      </c>
      <c r="B35" s="3">
        <v>688</v>
      </c>
      <c r="D35" s="4" t="s">
        <v>57</v>
      </c>
      <c r="E35" s="6">
        <v>2</v>
      </c>
      <c r="F35" s="4">
        <f t="shared" si="5"/>
        <v>1294</v>
      </c>
      <c r="G35" s="13">
        <f t="shared" si="6"/>
        <v>688</v>
      </c>
      <c r="H35" s="6">
        <v>2271</v>
      </c>
      <c r="I35" s="6">
        <v>28988</v>
      </c>
      <c r="J35" s="6">
        <v>25774</v>
      </c>
      <c r="K35" s="2">
        <f t="shared" si="1"/>
        <v>0.1246993093815473</v>
      </c>
      <c r="L35" s="17">
        <f t="shared" si="2"/>
        <v>0.69704975781594014</v>
      </c>
      <c r="M35" s="6">
        <v>603</v>
      </c>
      <c r="N35" s="2">
        <f>M35/allholds</f>
        <v>3.0168251792334361E-3</v>
      </c>
      <c r="O35" s="6">
        <v>527</v>
      </c>
      <c r="P35" s="6">
        <v>8624</v>
      </c>
      <c r="Q35" s="4">
        <v>7255</v>
      </c>
      <c r="R35" s="2">
        <f t="shared" si="4"/>
        <v>0.18869745003445898</v>
      </c>
    </row>
    <row r="36" spans="1:18" ht="11.25" customHeight="1" x14ac:dyDescent="0.2">
      <c r="A36" s="3">
        <v>1654</v>
      </c>
      <c r="B36" s="3">
        <v>1617</v>
      </c>
      <c r="D36" s="4" t="s">
        <v>58</v>
      </c>
      <c r="E36" s="6">
        <v>9</v>
      </c>
      <c r="F36" s="4">
        <f t="shared" si="5"/>
        <v>1654</v>
      </c>
      <c r="G36" s="13">
        <f t="shared" si="6"/>
        <v>1617</v>
      </c>
      <c r="H36" s="6">
        <v>2985</v>
      </c>
      <c r="I36" s="6">
        <v>39662</v>
      </c>
      <c r="J36" s="6">
        <v>32916</v>
      </c>
      <c r="K36" s="2">
        <f t="shared" si="1"/>
        <v>0.20494592295540162</v>
      </c>
      <c r="L36" s="17">
        <f t="shared" si="2"/>
        <v>0.45829145728643217</v>
      </c>
      <c r="M36" s="6">
        <v>1399</v>
      </c>
      <c r="N36" s="2">
        <f t="shared" si="3"/>
        <v>6.9992345368948211E-3</v>
      </c>
      <c r="O36" s="6">
        <v>1222</v>
      </c>
      <c r="P36" s="6">
        <v>19151</v>
      </c>
      <c r="Q36" s="4">
        <v>19960</v>
      </c>
      <c r="R36" s="2">
        <f t="shared" si="4"/>
        <v>-4.05310621242485E-2</v>
      </c>
    </row>
    <row r="37" spans="1:18" ht="11.25" customHeight="1" x14ac:dyDescent="0.2">
      <c r="A37" s="3">
        <v>903</v>
      </c>
      <c r="B37" s="3">
        <v>383</v>
      </c>
      <c r="D37" s="9" t="s">
        <v>59</v>
      </c>
      <c r="E37" s="8">
        <v>7</v>
      </c>
      <c r="F37" s="9">
        <f t="shared" si="5"/>
        <v>903</v>
      </c>
      <c r="G37" s="12">
        <f t="shared" si="6"/>
        <v>383</v>
      </c>
      <c r="H37" s="8">
        <v>880</v>
      </c>
      <c r="I37" s="8">
        <v>11705</v>
      </c>
      <c r="J37" s="8">
        <v>11977</v>
      </c>
      <c r="K37" s="10">
        <f t="shared" si="1"/>
        <v>-2.2710194539534108E-2</v>
      </c>
      <c r="L37" s="18">
        <f t="shared" si="2"/>
        <v>0.56477272727272732</v>
      </c>
      <c r="M37" s="8">
        <v>277</v>
      </c>
      <c r="N37" s="10">
        <f t="shared" si="3"/>
        <v>1.3858384322515121E-3</v>
      </c>
      <c r="O37" s="8">
        <v>261</v>
      </c>
      <c r="P37" s="8">
        <v>2982</v>
      </c>
      <c r="Q37" s="9">
        <v>3353</v>
      </c>
      <c r="R37" s="10">
        <f t="shared" si="4"/>
        <v>-0.11064718162839249</v>
      </c>
    </row>
    <row r="38" spans="1:18" ht="11.25" customHeight="1" x14ac:dyDescent="0.2">
      <c r="A38" s="3">
        <v>6254</v>
      </c>
      <c r="B38" s="3">
        <v>5215</v>
      </c>
      <c r="D38" s="4" t="s">
        <v>60</v>
      </c>
      <c r="E38" s="6">
        <v>42</v>
      </c>
      <c r="F38" s="4">
        <f t="shared" si="5"/>
        <v>6254</v>
      </c>
      <c r="G38" s="13">
        <f t="shared" si="6"/>
        <v>5215</v>
      </c>
      <c r="H38" s="6">
        <v>14172</v>
      </c>
      <c r="I38" s="6">
        <v>193562</v>
      </c>
      <c r="J38" s="6">
        <v>159346</v>
      </c>
      <c r="K38" s="2">
        <f t="shared" si="1"/>
        <v>0.21472769947159012</v>
      </c>
      <c r="L38" s="17">
        <f t="shared" si="2"/>
        <v>0.63202088625458652</v>
      </c>
      <c r="M38" s="6">
        <v>5178</v>
      </c>
      <c r="N38" s="2">
        <f t="shared" si="3"/>
        <v>2.5905672932123935E-2</v>
      </c>
      <c r="O38" s="6">
        <v>4504</v>
      </c>
      <c r="P38" s="6">
        <v>69532</v>
      </c>
      <c r="Q38" s="4">
        <v>72032</v>
      </c>
      <c r="R38" s="2">
        <f t="shared" si="4"/>
        <v>-3.4706796979120394E-2</v>
      </c>
    </row>
    <row r="39" spans="1:18" ht="11.25" customHeight="1" x14ac:dyDescent="0.2">
      <c r="A39" s="3">
        <v>791</v>
      </c>
      <c r="B39" s="3">
        <v>569</v>
      </c>
      <c r="D39" s="4" t="s">
        <v>61</v>
      </c>
      <c r="E39" s="6">
        <v>5</v>
      </c>
      <c r="F39" s="4">
        <f t="shared" si="5"/>
        <v>791</v>
      </c>
      <c r="G39" s="13">
        <f t="shared" si="6"/>
        <v>569</v>
      </c>
      <c r="H39" s="6">
        <v>1393</v>
      </c>
      <c r="I39" s="6">
        <v>16290</v>
      </c>
      <c r="J39" s="6">
        <v>12740</v>
      </c>
      <c r="K39" s="2">
        <f t="shared" si="1"/>
        <v>0.27864992150706436</v>
      </c>
      <c r="L39" s="17">
        <f t="shared" si="2"/>
        <v>0.5915290739411343</v>
      </c>
      <c r="M39" s="6">
        <v>542</v>
      </c>
      <c r="N39" s="2">
        <f t="shared" si="3"/>
        <v>2.7116405425282298E-3</v>
      </c>
      <c r="O39" s="6">
        <v>387</v>
      </c>
      <c r="P39" s="6">
        <v>6407</v>
      </c>
      <c r="Q39" s="4">
        <v>5826</v>
      </c>
      <c r="R39" s="2">
        <f t="shared" si="4"/>
        <v>9.9725369035358738E-2</v>
      </c>
    </row>
    <row r="40" spans="1:18" ht="11.25" customHeight="1" x14ac:dyDescent="0.2">
      <c r="A40" s="3">
        <v>2750</v>
      </c>
      <c r="B40" s="3">
        <v>2400</v>
      </c>
      <c r="D40" s="9" t="s">
        <v>62</v>
      </c>
      <c r="E40" s="8">
        <v>13</v>
      </c>
      <c r="F40" s="9">
        <f t="shared" si="5"/>
        <v>2750</v>
      </c>
      <c r="G40" s="12">
        <f t="shared" si="6"/>
        <v>2400</v>
      </c>
      <c r="H40" s="8">
        <v>6674</v>
      </c>
      <c r="I40" s="8">
        <v>88574</v>
      </c>
      <c r="J40" s="8">
        <v>82153</v>
      </c>
      <c r="K40" s="10">
        <f t="shared" si="1"/>
        <v>7.8159044709261993E-2</v>
      </c>
      <c r="L40" s="18">
        <f t="shared" si="2"/>
        <v>0.64039556487863347</v>
      </c>
      <c r="M40" s="8">
        <v>2040</v>
      </c>
      <c r="N40" s="10">
        <f t="shared" si="3"/>
        <v>1.0206174735715107E-2</v>
      </c>
      <c r="O40" s="8">
        <v>1732</v>
      </c>
      <c r="P40" s="8">
        <v>27822</v>
      </c>
      <c r="Q40" s="9">
        <v>29622</v>
      </c>
      <c r="R40" s="10">
        <f t="shared" si="4"/>
        <v>-6.0765647154142191E-2</v>
      </c>
    </row>
    <row r="41" spans="1:18" ht="11.25" customHeight="1" x14ac:dyDescent="0.2">
      <c r="A41" s="3">
        <v>1172</v>
      </c>
      <c r="B41" s="3">
        <v>739</v>
      </c>
      <c r="D41" s="4" t="s">
        <v>63</v>
      </c>
      <c r="E41" s="6">
        <v>11</v>
      </c>
      <c r="F41" s="4">
        <f t="shared" si="5"/>
        <v>1172</v>
      </c>
      <c r="G41" s="13">
        <f t="shared" si="6"/>
        <v>739</v>
      </c>
      <c r="H41" s="6">
        <v>1780</v>
      </c>
      <c r="I41" s="6">
        <v>18939</v>
      </c>
      <c r="J41" s="6">
        <v>18550</v>
      </c>
      <c r="K41" s="2">
        <f t="shared" si="1"/>
        <v>2.0970350404312669E-2</v>
      </c>
      <c r="L41" s="17">
        <f t="shared" si="2"/>
        <v>0.58483146067415726</v>
      </c>
      <c r="M41" s="6">
        <v>631</v>
      </c>
      <c r="N41" s="2">
        <f t="shared" si="3"/>
        <v>3.1569099305079574E-3</v>
      </c>
      <c r="O41" s="6">
        <v>630</v>
      </c>
      <c r="P41" s="6">
        <v>7866</v>
      </c>
      <c r="Q41" s="4">
        <v>7517</v>
      </c>
      <c r="R41" s="2">
        <f t="shared" si="4"/>
        <v>4.642809631501929E-2</v>
      </c>
    </row>
    <row r="42" spans="1:18" ht="11.25" customHeight="1" x14ac:dyDescent="0.2">
      <c r="A42" s="3">
        <v>2710</v>
      </c>
      <c r="B42" s="3">
        <v>2670</v>
      </c>
      <c r="D42" s="4" t="s">
        <v>64</v>
      </c>
      <c r="E42" s="6">
        <v>23</v>
      </c>
      <c r="F42" s="4">
        <f t="shared" si="5"/>
        <v>2710</v>
      </c>
      <c r="G42" s="13">
        <f t="shared" si="6"/>
        <v>2670</v>
      </c>
      <c r="H42" s="6">
        <v>7263</v>
      </c>
      <c r="I42" s="6">
        <v>101891</v>
      </c>
      <c r="J42" s="6">
        <v>92402</v>
      </c>
      <c r="K42" s="2">
        <f t="shared" si="1"/>
        <v>0.10269258241163612</v>
      </c>
      <c r="L42" s="17">
        <f t="shared" si="2"/>
        <v>0.63238331268071046</v>
      </c>
      <c r="M42" s="6">
        <v>2423</v>
      </c>
      <c r="N42" s="2">
        <f t="shared" si="3"/>
        <v>1.2122334012077306E-2</v>
      </c>
      <c r="O42" s="6">
        <v>2186</v>
      </c>
      <c r="P42" s="6">
        <v>32869</v>
      </c>
      <c r="Q42" s="4">
        <v>31941</v>
      </c>
      <c r="R42" s="2">
        <f t="shared" si="4"/>
        <v>2.9053567515105978E-2</v>
      </c>
    </row>
    <row r="43" spans="1:18" ht="11.25" customHeight="1" x14ac:dyDescent="0.2">
      <c r="A43" s="3">
        <v>947</v>
      </c>
      <c r="B43" s="3">
        <v>1579</v>
      </c>
      <c r="D43" s="9" t="s">
        <v>65</v>
      </c>
      <c r="E43" s="8">
        <v>9</v>
      </c>
      <c r="F43" s="9">
        <f t="shared" si="5"/>
        <v>947</v>
      </c>
      <c r="G43" s="12">
        <f t="shared" si="6"/>
        <v>1579</v>
      </c>
      <c r="H43" s="8">
        <v>3016</v>
      </c>
      <c r="I43" s="8">
        <v>42135</v>
      </c>
      <c r="J43" s="8">
        <v>39647</v>
      </c>
      <c r="K43" s="10">
        <f t="shared" si="1"/>
        <v>6.2753802305344664E-2</v>
      </c>
      <c r="L43" s="18">
        <f t="shared" si="2"/>
        <v>0.47645888594164454</v>
      </c>
      <c r="M43" s="8">
        <v>1178</v>
      </c>
      <c r="N43" s="10">
        <f t="shared" si="3"/>
        <v>5.893565607192351E-3</v>
      </c>
      <c r="O43" s="8">
        <v>1086</v>
      </c>
      <c r="P43" s="8">
        <v>16930</v>
      </c>
      <c r="Q43" s="9">
        <v>16022</v>
      </c>
      <c r="R43" s="10">
        <f t="shared" si="4"/>
        <v>5.6672075895643492E-2</v>
      </c>
    </row>
    <row r="44" spans="1:18" ht="11.25" customHeight="1" x14ac:dyDescent="0.2">
      <c r="A44" s="3">
        <v>1677</v>
      </c>
      <c r="B44" s="3">
        <v>253</v>
      </c>
      <c r="D44" s="32" t="s">
        <v>66</v>
      </c>
      <c r="E44" s="31">
        <v>2</v>
      </c>
      <c r="F44" s="32">
        <f t="shared" si="5"/>
        <v>1677</v>
      </c>
      <c r="G44" s="33">
        <f t="shared" si="6"/>
        <v>253</v>
      </c>
      <c r="H44" s="31">
        <v>1143</v>
      </c>
      <c r="I44" s="31">
        <v>15524</v>
      </c>
      <c r="J44" s="31">
        <v>15016</v>
      </c>
      <c r="K44" s="34">
        <f t="shared" si="1"/>
        <v>3.383058071390517E-2</v>
      </c>
      <c r="L44" s="35">
        <f t="shared" si="2"/>
        <v>0.77865266841644798</v>
      </c>
      <c r="M44" s="31">
        <v>278</v>
      </c>
      <c r="N44" s="34">
        <f>M44/allholds</f>
        <v>1.390841459082745E-3</v>
      </c>
      <c r="O44" s="31">
        <v>187</v>
      </c>
      <c r="P44" s="31">
        <v>3505</v>
      </c>
      <c r="Q44" s="32">
        <v>3709</v>
      </c>
      <c r="R44" s="34">
        <f t="shared" si="4"/>
        <v>-5.5001348072256671E-2</v>
      </c>
    </row>
    <row r="45" spans="1:18" ht="11.25" customHeight="1" x14ac:dyDescent="0.2">
      <c r="A45" s="3">
        <v>4486</v>
      </c>
      <c r="B45" s="3">
        <v>3301</v>
      </c>
      <c r="D45" s="4" t="s">
        <v>67</v>
      </c>
      <c r="E45" s="6">
        <v>30</v>
      </c>
      <c r="F45" s="4">
        <f t="shared" ref="F45:G47" si="7">A45</f>
        <v>4486</v>
      </c>
      <c r="G45" s="13">
        <f t="shared" si="7"/>
        <v>3301</v>
      </c>
      <c r="H45" s="6">
        <v>10414</v>
      </c>
      <c r="I45" s="6">
        <v>129174</v>
      </c>
      <c r="J45" s="6">
        <v>113522</v>
      </c>
      <c r="K45" s="2">
        <f>(I45-J45)/J45</f>
        <v>0.13787635876746357</v>
      </c>
      <c r="L45" s="17">
        <f t="shared" si="2"/>
        <v>0.6830228538505857</v>
      </c>
      <c r="M45" s="6">
        <v>3126</v>
      </c>
      <c r="N45" s="2">
        <f>M45/allholds</f>
        <v>1.5639461874434032E-2</v>
      </c>
      <c r="O45" s="6">
        <v>2759</v>
      </c>
      <c r="P45" s="6">
        <v>41156</v>
      </c>
      <c r="Q45" s="4">
        <v>39858</v>
      </c>
      <c r="R45" s="2">
        <f>(P45-Q45)/Q45</f>
        <v>3.2565607908073661E-2</v>
      </c>
    </row>
    <row r="46" spans="1:18" ht="11.25" customHeight="1" x14ac:dyDescent="0.2">
      <c r="A46" s="3">
        <v>704</v>
      </c>
      <c r="B46" s="3">
        <v>206</v>
      </c>
      <c r="D46" s="9" t="s">
        <v>68</v>
      </c>
      <c r="E46" s="8">
        <v>0</v>
      </c>
      <c r="F46" s="9">
        <f t="shared" si="7"/>
        <v>704</v>
      </c>
      <c r="G46" s="12">
        <f t="shared" si="7"/>
        <v>206</v>
      </c>
      <c r="H46" s="8">
        <v>1121</v>
      </c>
      <c r="I46" s="8">
        <v>16965</v>
      </c>
      <c r="J46" s="8" t="s">
        <v>51</v>
      </c>
      <c r="K46" s="10" t="s">
        <v>51</v>
      </c>
      <c r="L46" s="18">
        <f t="shared" si="2"/>
        <v>0.81623550401427292</v>
      </c>
      <c r="M46" s="8">
        <v>175</v>
      </c>
      <c r="N46" s="10">
        <f>M46/allholds</f>
        <v>8.7552969546575681E-4</v>
      </c>
      <c r="O46" s="8">
        <v>166</v>
      </c>
      <c r="P46" s="8">
        <v>3838</v>
      </c>
      <c r="Q46" s="9" t="s">
        <v>51</v>
      </c>
      <c r="R46" s="10" t="s">
        <v>51</v>
      </c>
    </row>
    <row r="47" spans="1:18" ht="11.25" customHeight="1" x14ac:dyDescent="0.2">
      <c r="A47" s="3">
        <v>279</v>
      </c>
      <c r="B47" s="3">
        <v>198</v>
      </c>
      <c r="D47" s="32" t="s">
        <v>69</v>
      </c>
      <c r="E47" s="31">
        <v>2</v>
      </c>
      <c r="F47" s="32">
        <f t="shared" si="7"/>
        <v>279</v>
      </c>
      <c r="G47" s="33">
        <f t="shared" si="7"/>
        <v>198</v>
      </c>
      <c r="H47" s="31">
        <v>517</v>
      </c>
      <c r="I47" s="31">
        <v>9153</v>
      </c>
      <c r="J47" s="31">
        <v>3991</v>
      </c>
      <c r="K47" s="34">
        <f>(I47-J47)/J47</f>
        <v>1.2934101728890002</v>
      </c>
      <c r="L47" s="35">
        <f>(H47-G47)/H47</f>
        <v>0.61702127659574468</v>
      </c>
      <c r="M47" s="31">
        <v>100</v>
      </c>
      <c r="N47" s="34">
        <f>M47/allholds</f>
        <v>5.0030268312328959E-4</v>
      </c>
      <c r="O47" s="31">
        <v>123</v>
      </c>
      <c r="P47" s="31">
        <v>2572</v>
      </c>
      <c r="Q47" s="32">
        <v>1256</v>
      </c>
      <c r="R47" s="34">
        <f>(P47-Q47)/Q47</f>
        <v>1.0477707006369428</v>
      </c>
    </row>
    <row r="48" spans="1:18" ht="11.25" customHeight="1" x14ac:dyDescent="0.2">
      <c r="A48" s="3">
        <v>1064</v>
      </c>
      <c r="B48" s="3">
        <v>469</v>
      </c>
      <c r="D48" s="4" t="s">
        <v>70</v>
      </c>
      <c r="E48" s="6">
        <v>8</v>
      </c>
      <c r="F48" s="4">
        <f t="shared" si="5"/>
        <v>1064</v>
      </c>
      <c r="G48" s="13">
        <f t="shared" si="6"/>
        <v>469</v>
      </c>
      <c r="H48" s="6">
        <v>1674</v>
      </c>
      <c r="I48" s="6">
        <v>20737</v>
      </c>
      <c r="J48" s="6">
        <v>19832</v>
      </c>
      <c r="K48" s="2">
        <f>(I48-J48)/J48</f>
        <v>4.563331988705123E-2</v>
      </c>
      <c r="L48" s="17">
        <f t="shared" si="2"/>
        <v>0.71983273596176822</v>
      </c>
      <c r="M48" s="6">
        <v>411</v>
      </c>
      <c r="N48" s="2">
        <f>M48/allholds</f>
        <v>2.0562440276367202E-3</v>
      </c>
      <c r="O48" s="6">
        <v>349</v>
      </c>
      <c r="P48" s="6">
        <v>6683</v>
      </c>
      <c r="Q48" s="4">
        <v>5988</v>
      </c>
      <c r="R48" s="2">
        <f>(P48-Q48)/Q48</f>
        <v>0.11606546426185704</v>
      </c>
    </row>
    <row r="49" spans="1:19" ht="11.25" customHeight="1" x14ac:dyDescent="0.2">
      <c r="A49" s="3">
        <v>46</v>
      </c>
      <c r="B49" s="3">
        <v>80</v>
      </c>
      <c r="D49" s="9" t="s">
        <v>71</v>
      </c>
      <c r="E49" s="8">
        <v>0</v>
      </c>
      <c r="F49" s="9">
        <f t="shared" ref="F49:F59" si="8">A49</f>
        <v>46</v>
      </c>
      <c r="G49" s="12">
        <f>-E49+B49</f>
        <v>80</v>
      </c>
      <c r="H49" s="8">
        <v>90</v>
      </c>
      <c r="I49" s="8">
        <v>1068</v>
      </c>
      <c r="J49" s="8">
        <v>904</v>
      </c>
      <c r="K49" s="10">
        <f t="shared" si="1"/>
        <v>0.18141592920353983</v>
      </c>
      <c r="L49" s="18">
        <f t="shared" si="2"/>
        <v>0.1111111111111111</v>
      </c>
      <c r="M49" s="8">
        <v>55</v>
      </c>
      <c r="N49" s="10">
        <f t="shared" si="3"/>
        <v>2.7516647571780925E-4</v>
      </c>
      <c r="O49" s="8">
        <v>46</v>
      </c>
      <c r="P49" s="8">
        <v>726</v>
      </c>
      <c r="Q49" s="9">
        <v>652</v>
      </c>
      <c r="R49" s="10">
        <f t="shared" si="4"/>
        <v>0.11349693251533742</v>
      </c>
    </row>
    <row r="50" spans="1:19" ht="11.25" customHeight="1" x14ac:dyDescent="0.2">
      <c r="A50" s="3">
        <v>2</v>
      </c>
      <c r="B50" s="3">
        <v>0</v>
      </c>
      <c r="D50" s="32" t="s">
        <v>72</v>
      </c>
      <c r="E50" s="31">
        <v>0</v>
      </c>
      <c r="F50" s="32">
        <f t="shared" si="8"/>
        <v>2</v>
      </c>
      <c r="G50" s="33">
        <f t="shared" ref="G50:G60" si="9">B50</f>
        <v>0</v>
      </c>
      <c r="H50" s="31">
        <v>0</v>
      </c>
      <c r="I50" s="31">
        <v>1</v>
      </c>
      <c r="J50" s="31">
        <v>16</v>
      </c>
      <c r="K50" s="34">
        <f t="shared" si="1"/>
        <v>-0.9375</v>
      </c>
      <c r="L50" s="35" t="e">
        <f t="shared" si="2"/>
        <v>#DIV/0!</v>
      </c>
      <c r="M50" s="31">
        <v>0</v>
      </c>
      <c r="N50" s="34">
        <f t="shared" si="3"/>
        <v>0</v>
      </c>
      <c r="O50" s="31">
        <v>0</v>
      </c>
      <c r="P50" s="31">
        <v>1</v>
      </c>
      <c r="Q50" s="32">
        <v>3</v>
      </c>
      <c r="R50" s="34">
        <f t="shared" si="4"/>
        <v>-0.66666666666666663</v>
      </c>
    </row>
    <row r="51" spans="1:19" ht="11.25" customHeight="1" x14ac:dyDescent="0.2">
      <c r="A51" s="3">
        <v>2089</v>
      </c>
      <c r="B51" s="3">
        <v>1746</v>
      </c>
      <c r="D51" s="32" t="s">
        <v>73</v>
      </c>
      <c r="E51" s="31">
        <v>21</v>
      </c>
      <c r="F51" s="32">
        <f t="shared" si="8"/>
        <v>2089</v>
      </c>
      <c r="G51" s="33">
        <f t="shared" si="9"/>
        <v>1746</v>
      </c>
      <c r="H51" s="31">
        <v>4043</v>
      </c>
      <c r="I51" s="31">
        <v>49993</v>
      </c>
      <c r="J51" s="31">
        <v>44636</v>
      </c>
      <c r="K51" s="34">
        <f t="shared" si="1"/>
        <v>0.12001523433999463</v>
      </c>
      <c r="L51" s="35">
        <f t="shared" si="2"/>
        <v>0.56814246846401184</v>
      </c>
      <c r="M51" s="31">
        <v>1314</v>
      </c>
      <c r="N51" s="34">
        <f t="shared" si="3"/>
        <v>6.5739772562400248E-3</v>
      </c>
      <c r="O51" s="31">
        <v>1353</v>
      </c>
      <c r="P51" s="31">
        <v>18820</v>
      </c>
      <c r="Q51" s="32">
        <v>20409</v>
      </c>
      <c r="R51" s="34">
        <f t="shared" si="4"/>
        <v>-7.7857807829878972E-2</v>
      </c>
      <c r="S51" s="2"/>
    </row>
    <row r="52" spans="1:19" ht="11.25" customHeight="1" x14ac:dyDescent="0.2">
      <c r="A52" s="3">
        <v>1985</v>
      </c>
      <c r="B52" s="3">
        <v>3022</v>
      </c>
      <c r="D52" s="9" t="s">
        <v>74</v>
      </c>
      <c r="E52" s="8">
        <v>18</v>
      </c>
      <c r="F52" s="9">
        <f t="shared" si="8"/>
        <v>1985</v>
      </c>
      <c r="G52" s="12">
        <f t="shared" si="9"/>
        <v>3022</v>
      </c>
      <c r="H52" s="8">
        <v>6938</v>
      </c>
      <c r="I52" s="8">
        <v>88478</v>
      </c>
      <c r="J52" s="8">
        <v>78889</v>
      </c>
      <c r="K52" s="10">
        <f t="shared" si="1"/>
        <v>0.12155053302741826</v>
      </c>
      <c r="L52" s="18">
        <f t="shared" si="2"/>
        <v>0.56442778898818102</v>
      </c>
      <c r="M52" s="8">
        <v>3040</v>
      </c>
      <c r="N52" s="10">
        <f t="shared" si="3"/>
        <v>1.5209201566948003E-2</v>
      </c>
      <c r="O52" s="8">
        <v>2610</v>
      </c>
      <c r="P52" s="8">
        <v>33215</v>
      </c>
      <c r="Q52" s="9">
        <v>26023</v>
      </c>
      <c r="R52" s="10">
        <f t="shared" si="4"/>
        <v>0.27637090266302888</v>
      </c>
      <c r="S52" s="2"/>
    </row>
    <row r="53" spans="1:19" ht="11.25" customHeight="1" x14ac:dyDescent="0.2">
      <c r="A53" s="3">
        <v>7298</v>
      </c>
      <c r="B53" s="3">
        <v>4469</v>
      </c>
      <c r="D53" s="32" t="s">
        <v>75</v>
      </c>
      <c r="E53" s="31">
        <v>45</v>
      </c>
      <c r="F53" s="32">
        <f t="shared" si="8"/>
        <v>7298</v>
      </c>
      <c r="G53" s="33">
        <f t="shared" si="9"/>
        <v>4469</v>
      </c>
      <c r="H53" s="31">
        <v>11807</v>
      </c>
      <c r="I53" s="31">
        <v>161167</v>
      </c>
      <c r="J53" s="31">
        <v>135404</v>
      </c>
      <c r="K53" s="34">
        <f t="shared" si="1"/>
        <v>0.19026764349649936</v>
      </c>
      <c r="L53" s="35">
        <f t="shared" si="2"/>
        <v>0.62149572287625987</v>
      </c>
      <c r="M53" s="31">
        <v>4135</v>
      </c>
      <c r="N53" s="34">
        <f t="shared" si="3"/>
        <v>2.0687515947148023E-2</v>
      </c>
      <c r="O53" s="31">
        <v>3607</v>
      </c>
      <c r="P53" s="31">
        <v>60007</v>
      </c>
      <c r="Q53" s="32">
        <v>66092</v>
      </c>
      <c r="R53" s="34">
        <f t="shared" si="4"/>
        <v>-9.2068631604430184E-2</v>
      </c>
    </row>
    <row r="54" spans="1:19" ht="11.25" customHeight="1" x14ac:dyDescent="0.2">
      <c r="A54" s="3">
        <v>9134</v>
      </c>
      <c r="B54" s="3">
        <v>9851</v>
      </c>
      <c r="D54" s="4" t="s">
        <v>76</v>
      </c>
      <c r="E54" s="6">
        <v>149</v>
      </c>
      <c r="F54" s="4">
        <f t="shared" si="8"/>
        <v>9134</v>
      </c>
      <c r="G54" s="13">
        <f t="shared" si="9"/>
        <v>9851</v>
      </c>
      <c r="H54" s="6">
        <v>35093</v>
      </c>
      <c r="I54" s="6">
        <v>543880</v>
      </c>
      <c r="J54" s="6">
        <v>422820</v>
      </c>
      <c r="K54" s="2">
        <f t="shared" si="1"/>
        <v>0.28631568989167966</v>
      </c>
      <c r="L54" s="17">
        <f t="shared" si="2"/>
        <v>0.71928874704356993</v>
      </c>
      <c r="M54" s="6">
        <v>10608</v>
      </c>
      <c r="N54" s="2">
        <f t="shared" si="3"/>
        <v>5.307210862571856E-2</v>
      </c>
      <c r="O54" s="6">
        <v>8179</v>
      </c>
      <c r="P54" s="6">
        <v>142814</v>
      </c>
      <c r="Q54" s="4">
        <v>148672</v>
      </c>
      <c r="R54" s="2">
        <f t="shared" si="4"/>
        <v>-3.940217391304348E-2</v>
      </c>
    </row>
    <row r="55" spans="1:19" ht="11.25" customHeight="1" x14ac:dyDescent="0.2">
      <c r="A55" s="3">
        <v>9686</v>
      </c>
      <c r="B55" s="3">
        <v>10885</v>
      </c>
      <c r="D55" s="9" t="s">
        <v>77</v>
      </c>
      <c r="E55" s="8">
        <v>97</v>
      </c>
      <c r="F55" s="9">
        <f t="shared" si="8"/>
        <v>9686</v>
      </c>
      <c r="G55" s="12">
        <f t="shared" si="9"/>
        <v>10885</v>
      </c>
      <c r="H55" s="8">
        <v>42000</v>
      </c>
      <c r="I55" s="8">
        <v>561749</v>
      </c>
      <c r="J55" s="8">
        <v>479227</v>
      </c>
      <c r="K55" s="10">
        <f t="shared" si="1"/>
        <v>0.17219814409455228</v>
      </c>
      <c r="L55" s="18">
        <f t="shared" si="2"/>
        <v>0.74083333333333334</v>
      </c>
      <c r="M55" s="8">
        <v>10313</v>
      </c>
      <c r="N55" s="10">
        <f t="shared" si="3"/>
        <v>5.1596215710504857E-2</v>
      </c>
      <c r="O55" s="8">
        <v>9010</v>
      </c>
      <c r="P55" s="8">
        <v>148290</v>
      </c>
      <c r="Q55" s="9">
        <v>172280</v>
      </c>
      <c r="R55" s="10">
        <f t="shared" si="4"/>
        <v>-0.13925005804504295</v>
      </c>
    </row>
    <row r="56" spans="1:19" ht="11.25" customHeight="1" x14ac:dyDescent="0.2">
      <c r="A56" s="3">
        <v>5480</v>
      </c>
      <c r="B56" s="3">
        <v>6357</v>
      </c>
      <c r="D56" s="32" t="s">
        <v>78</v>
      </c>
      <c r="E56" s="31">
        <v>62</v>
      </c>
      <c r="F56" s="32">
        <f t="shared" si="8"/>
        <v>5480</v>
      </c>
      <c r="G56" s="33">
        <f t="shared" si="9"/>
        <v>6357</v>
      </c>
      <c r="H56" s="31">
        <v>19967</v>
      </c>
      <c r="I56" s="31">
        <v>280834</v>
      </c>
      <c r="J56" s="31">
        <v>255939</v>
      </c>
      <c r="K56" s="34">
        <f t="shared" si="1"/>
        <v>9.7269271193526588E-2</v>
      </c>
      <c r="L56" s="35">
        <f t="shared" si="2"/>
        <v>0.68162468072319327</v>
      </c>
      <c r="M56" s="31">
        <v>6277</v>
      </c>
      <c r="N56" s="34">
        <f t="shared" si="3"/>
        <v>3.1403999419648887E-2</v>
      </c>
      <c r="O56" s="31">
        <v>5199</v>
      </c>
      <c r="P56" s="31">
        <v>81359</v>
      </c>
      <c r="Q56" s="32">
        <v>79648</v>
      </c>
      <c r="R56" s="34">
        <f t="shared" si="4"/>
        <v>2.1482020891924469E-2</v>
      </c>
    </row>
    <row r="57" spans="1:19" ht="11.25" customHeight="1" x14ac:dyDescent="0.2">
      <c r="A57" s="3">
        <v>1548</v>
      </c>
      <c r="B57" s="3">
        <v>1685</v>
      </c>
      <c r="D57" s="4" t="s">
        <v>79</v>
      </c>
      <c r="E57" s="6">
        <v>12</v>
      </c>
      <c r="F57" s="4">
        <f t="shared" si="8"/>
        <v>1548</v>
      </c>
      <c r="G57" s="13">
        <f t="shared" si="9"/>
        <v>1685</v>
      </c>
      <c r="H57" s="6">
        <v>4300</v>
      </c>
      <c r="I57" s="6">
        <v>56146</v>
      </c>
      <c r="J57" s="6">
        <v>52939</v>
      </c>
      <c r="K57" s="2">
        <f t="shared" si="1"/>
        <v>6.0579157143126998E-2</v>
      </c>
      <c r="L57" s="17">
        <f t="shared" si="2"/>
        <v>0.60813953488372097</v>
      </c>
      <c r="M57" s="6">
        <v>1578</v>
      </c>
      <c r="N57" s="2">
        <f t="shared" si="3"/>
        <v>7.8947763396855098E-3</v>
      </c>
      <c r="O57" s="6">
        <v>1267</v>
      </c>
      <c r="P57" s="6">
        <v>19265</v>
      </c>
      <c r="Q57" s="4">
        <v>18449</v>
      </c>
      <c r="R57" s="2">
        <f t="shared" si="4"/>
        <v>4.4230039568540297E-2</v>
      </c>
    </row>
    <row r="58" spans="1:19" ht="11.25" customHeight="1" x14ac:dyDescent="0.2">
      <c r="A58" s="3">
        <v>473</v>
      </c>
      <c r="B58" s="3">
        <v>67</v>
      </c>
      <c r="D58" s="9" t="s">
        <v>80</v>
      </c>
      <c r="E58" s="8">
        <v>1</v>
      </c>
      <c r="F58" s="9">
        <f t="shared" si="8"/>
        <v>473</v>
      </c>
      <c r="G58" s="12">
        <f t="shared" si="9"/>
        <v>67</v>
      </c>
      <c r="H58" s="8">
        <v>435</v>
      </c>
      <c r="I58" s="8">
        <v>3631</v>
      </c>
      <c r="J58" s="8">
        <v>4580</v>
      </c>
      <c r="K58" s="10">
        <f t="shared" si="1"/>
        <v>-0.20720524017467248</v>
      </c>
      <c r="L58" s="18">
        <f t="shared" si="2"/>
        <v>0.84597701149425286</v>
      </c>
      <c r="M58" s="8">
        <v>55</v>
      </c>
      <c r="N58" s="10">
        <f t="shared" si="3"/>
        <v>2.7516647571780925E-4</v>
      </c>
      <c r="O58" s="8">
        <v>54</v>
      </c>
      <c r="P58" s="8">
        <v>1021</v>
      </c>
      <c r="Q58" s="9">
        <v>1654</v>
      </c>
      <c r="R58" s="10">
        <f t="shared" si="4"/>
        <v>-0.38270858524788393</v>
      </c>
    </row>
    <row r="59" spans="1:19" ht="11.25" customHeight="1" x14ac:dyDescent="0.2">
      <c r="A59" s="3">
        <v>0</v>
      </c>
      <c r="B59" s="3">
        <v>288</v>
      </c>
      <c r="D59" s="32" t="s">
        <v>81</v>
      </c>
      <c r="E59" s="31">
        <v>0</v>
      </c>
      <c r="F59" s="32">
        <f t="shared" si="8"/>
        <v>0</v>
      </c>
      <c r="G59" s="33">
        <f t="shared" si="9"/>
        <v>288</v>
      </c>
      <c r="H59" s="31">
        <v>288</v>
      </c>
      <c r="I59" s="31">
        <v>4290</v>
      </c>
      <c r="J59" s="31">
        <v>5052</v>
      </c>
      <c r="K59" s="34">
        <f t="shared" si="1"/>
        <v>-0.15083135391923991</v>
      </c>
      <c r="L59" s="35">
        <f t="shared" si="2"/>
        <v>0</v>
      </c>
      <c r="M59" s="31">
        <v>122</v>
      </c>
      <c r="N59" s="34">
        <f t="shared" si="3"/>
        <v>6.1036927341041327E-4</v>
      </c>
      <c r="O59" s="31">
        <v>80</v>
      </c>
      <c r="P59" s="31">
        <v>1682</v>
      </c>
      <c r="Q59" s="32">
        <v>2470</v>
      </c>
      <c r="R59" s="34">
        <f t="shared" si="4"/>
        <v>-0.31902834008097164</v>
      </c>
    </row>
    <row r="60" spans="1:19" ht="11.25" customHeight="1" x14ac:dyDescent="0.2">
      <c r="A60" s="5" t="s">
        <v>82</v>
      </c>
      <c r="B60" s="5" t="s">
        <v>82</v>
      </c>
      <c r="D60" s="4" t="s">
        <v>82</v>
      </c>
      <c r="E60" s="6" t="s">
        <v>82</v>
      </c>
      <c r="F60" s="4" t="s">
        <v>82</v>
      </c>
      <c r="G60" s="13" t="str">
        <f t="shared" si="9"/>
        <v>---------</v>
      </c>
      <c r="H60" s="6" t="s">
        <v>82</v>
      </c>
      <c r="I60" s="6" t="s">
        <v>82</v>
      </c>
      <c r="J60" s="6" t="s">
        <v>82</v>
      </c>
      <c r="K60" s="2" t="s">
        <v>82</v>
      </c>
      <c r="L60" s="17" t="s">
        <v>82</v>
      </c>
      <c r="M60" s="6" t="s">
        <v>82</v>
      </c>
      <c r="N60" s="2" t="s">
        <v>82</v>
      </c>
      <c r="O60" s="6" t="s">
        <v>82</v>
      </c>
      <c r="P60" s="6" t="s">
        <v>82</v>
      </c>
      <c r="Q60" s="4" t="s">
        <v>82</v>
      </c>
      <c r="R60" s="2" t="s">
        <v>82</v>
      </c>
    </row>
    <row r="61" spans="1:19" ht="11.25" customHeight="1" x14ac:dyDescent="0.2">
      <c r="A61" s="36">
        <f>SUM(A9:A60)</f>
        <v>142496</v>
      </c>
      <c r="B61" s="36">
        <f>SUM(B9:B60)</f>
        <v>130839</v>
      </c>
      <c r="D61" s="4" t="s">
        <v>83</v>
      </c>
      <c r="E61" s="6">
        <f t="shared" ref="E61:J61" si="10">SUM(E10:E59)</f>
        <v>1281</v>
      </c>
      <c r="F61" s="4">
        <f t="shared" si="10"/>
        <v>142496</v>
      </c>
      <c r="G61" s="13">
        <f t="shared" si="10"/>
        <v>130839</v>
      </c>
      <c r="H61" s="6">
        <f t="shared" si="10"/>
        <v>385944</v>
      </c>
      <c r="I61" s="6">
        <f t="shared" si="10"/>
        <v>5255248</v>
      </c>
      <c r="J61" s="6">
        <f t="shared" si="10"/>
        <v>4358413</v>
      </c>
      <c r="K61" s="2">
        <f>(I61-J61)/J61</f>
        <v>0.20577099967350501</v>
      </c>
      <c r="L61" s="17">
        <f>(H61-G61)/H61</f>
        <v>0.66098967725887692</v>
      </c>
      <c r="M61" s="6">
        <f>SUM(M10:M59)</f>
        <v>121520</v>
      </c>
      <c r="N61" s="2">
        <f>SUM(N10:N59)</f>
        <v>0.60796782053142151</v>
      </c>
      <c r="O61" s="6">
        <f>SUM(O10:O59)</f>
        <v>104699</v>
      </c>
      <c r="P61" s="6">
        <f t="shared" ref="P61:Q61" si="11">SUM(P10:P59)</f>
        <v>1657480</v>
      </c>
      <c r="Q61" s="6">
        <f t="shared" si="11"/>
        <v>1688417</v>
      </c>
      <c r="R61" s="2">
        <f>(P61-Q61)/Q61</f>
        <v>-1.8323080139562679E-2</v>
      </c>
    </row>
    <row r="62" spans="1:19" ht="11.25" customHeight="1" x14ac:dyDescent="0.2">
      <c r="E62" s="4"/>
      <c r="F62" s="4"/>
      <c r="G62" s="13"/>
      <c r="H62" s="4"/>
      <c r="I62" s="4"/>
      <c r="J62" s="4"/>
      <c r="K62" s="2"/>
      <c r="L62" s="17"/>
      <c r="M62" s="4"/>
      <c r="N62" s="2"/>
      <c r="O62" s="4"/>
      <c r="P62" s="4"/>
      <c r="Q62" s="4"/>
      <c r="R62" s="2"/>
    </row>
    <row r="63" spans="1:19" ht="11.25" customHeight="1" x14ac:dyDescent="0.2">
      <c r="E63" s="4"/>
      <c r="F63" s="4"/>
      <c r="G63" s="13"/>
      <c r="H63" s="4"/>
      <c r="I63" s="4"/>
      <c r="J63" s="4"/>
      <c r="K63" s="2"/>
      <c r="L63" s="17"/>
      <c r="M63" s="4"/>
      <c r="N63" s="2"/>
      <c r="O63" s="4"/>
      <c r="P63" s="4"/>
      <c r="Q63" s="4"/>
      <c r="R63" s="2"/>
    </row>
    <row r="64" spans="1:19" ht="11.25" customHeight="1" x14ac:dyDescent="0.2">
      <c r="E64" s="4"/>
      <c r="F64" s="4"/>
      <c r="G64" s="13"/>
      <c r="H64" s="4"/>
      <c r="I64" s="4"/>
      <c r="J64" s="4"/>
      <c r="K64" s="2"/>
      <c r="L64" s="17"/>
      <c r="M64" s="4"/>
      <c r="N64" s="2"/>
      <c r="O64" s="4"/>
      <c r="P64" s="4"/>
      <c r="Q64" s="4"/>
      <c r="R64" s="2"/>
    </row>
    <row r="65" spans="1:18" ht="11.25" customHeight="1" x14ac:dyDescent="0.2">
      <c r="A65" s="3">
        <v>2015</v>
      </c>
      <c r="B65" s="3">
        <v>1449</v>
      </c>
      <c r="D65" s="9" t="s">
        <v>84</v>
      </c>
      <c r="E65" s="8">
        <v>18</v>
      </c>
      <c r="F65" s="9">
        <f>A65-dclintb</f>
        <v>1900</v>
      </c>
      <c r="G65" s="12">
        <f>B65-dclintl</f>
        <v>1410</v>
      </c>
      <c r="H65" s="8">
        <v>6668</v>
      </c>
      <c r="I65" s="8">
        <v>100865</v>
      </c>
      <c r="J65" s="8">
        <v>92714</v>
      </c>
      <c r="K65" s="10">
        <f>(I65-J65)/J65</f>
        <v>8.7915525163405742E-2</v>
      </c>
      <c r="L65" s="18">
        <f>(H65-G65)/H65</f>
        <v>0.78854229154169164</v>
      </c>
      <c r="M65" s="8">
        <v>1112</v>
      </c>
      <c r="N65" s="10">
        <f>M65/allholds</f>
        <v>5.56336583633098E-3</v>
      </c>
      <c r="O65" s="8">
        <v>1053</v>
      </c>
      <c r="P65" s="8">
        <v>18104</v>
      </c>
      <c r="Q65" s="9">
        <v>19446</v>
      </c>
      <c r="R65" s="10">
        <f>(P65-Q65)/Q65</f>
        <v>-6.9011621927388661E-2</v>
      </c>
    </row>
    <row r="66" spans="1:18" ht="11.25" customHeight="1" x14ac:dyDescent="0.2">
      <c r="A66" s="3">
        <v>255</v>
      </c>
      <c r="B66" s="3">
        <v>260</v>
      </c>
      <c r="D66" s="4" t="s">
        <v>85</v>
      </c>
      <c r="E66" s="6">
        <v>0</v>
      </c>
      <c r="F66" s="4">
        <f>A66-mrsintb</f>
        <v>216</v>
      </c>
      <c r="G66" s="13">
        <f>B66-mrsintl</f>
        <v>145</v>
      </c>
      <c r="H66" s="6">
        <v>555</v>
      </c>
      <c r="I66" s="6">
        <v>8939</v>
      </c>
      <c r="J66" s="6">
        <v>5781</v>
      </c>
      <c r="K66" s="2">
        <f>(I66-J66)/J66</f>
        <v>0.54627227123335065</v>
      </c>
      <c r="L66" s="17">
        <f>(H66-G66)/H66</f>
        <v>0.73873873873873874</v>
      </c>
      <c r="M66" s="6">
        <v>85</v>
      </c>
      <c r="N66" s="2">
        <f>M66/allholds</f>
        <v>4.2525728065479613E-4</v>
      </c>
      <c r="O66" s="6">
        <v>62</v>
      </c>
      <c r="P66" s="6">
        <v>1167</v>
      </c>
      <c r="Q66" s="4">
        <v>613</v>
      </c>
      <c r="R66" s="2">
        <f>(P66-Q66)/Q66</f>
        <v>0.90375203915171287</v>
      </c>
    </row>
    <row r="67" spans="1:18" ht="11.25" customHeight="1" x14ac:dyDescent="0.2">
      <c r="A67" s="5" t="s">
        <v>82</v>
      </c>
      <c r="B67" s="5" t="s">
        <v>82</v>
      </c>
      <c r="D67" s="4" t="s">
        <v>82</v>
      </c>
      <c r="E67" s="4" t="s">
        <v>82</v>
      </c>
      <c r="F67" s="4" t="s">
        <v>82</v>
      </c>
      <c r="G67" s="13" t="s">
        <v>82</v>
      </c>
      <c r="H67" s="4" t="s">
        <v>82</v>
      </c>
      <c r="I67" s="4" t="s">
        <v>82</v>
      </c>
      <c r="J67" s="4" t="s">
        <v>82</v>
      </c>
      <c r="K67" s="4" t="s">
        <v>82</v>
      </c>
      <c r="L67" s="13" t="s">
        <v>82</v>
      </c>
      <c r="M67" s="4" t="s">
        <v>82</v>
      </c>
      <c r="N67" s="4" t="s">
        <v>82</v>
      </c>
      <c r="O67" s="4" t="s">
        <v>82</v>
      </c>
      <c r="P67" s="4" t="s">
        <v>82</v>
      </c>
      <c r="Q67" s="4" t="s">
        <v>82</v>
      </c>
      <c r="R67" s="4" t="s">
        <v>82</v>
      </c>
    </row>
    <row r="68" spans="1:18" ht="11.25" customHeight="1" x14ac:dyDescent="0.2">
      <c r="A68" s="11">
        <f>SUM(A65:A66)</f>
        <v>2270</v>
      </c>
      <c r="B68" s="11">
        <f>SUM(B65:B66)</f>
        <v>1709</v>
      </c>
      <c r="D68" s="4" t="s">
        <v>86</v>
      </c>
      <c r="E68" s="4">
        <f>SUM(E65:E66)</f>
        <v>18</v>
      </c>
      <c r="F68" s="4">
        <f t="shared" ref="F68:Q68" si="12">SUM(F65:F66)</f>
        <v>2116</v>
      </c>
      <c r="G68" s="13">
        <f t="shared" si="12"/>
        <v>1555</v>
      </c>
      <c r="H68" s="4">
        <f t="shared" si="12"/>
        <v>7223</v>
      </c>
      <c r="I68" s="4">
        <f t="shared" si="12"/>
        <v>109804</v>
      </c>
      <c r="J68" s="4">
        <f t="shared" si="12"/>
        <v>98495</v>
      </c>
      <c r="K68" s="2">
        <f t="shared" ref="K68" si="13">(I68-J68)/J68</f>
        <v>0.1148180110665516</v>
      </c>
      <c r="L68" s="17">
        <f>(H68-G68)/H68</f>
        <v>0.78471549217776548</v>
      </c>
      <c r="M68" s="4">
        <f t="shared" si="12"/>
        <v>1197</v>
      </c>
      <c r="N68" s="2">
        <f t="shared" si="12"/>
        <v>5.9886231169857763E-3</v>
      </c>
      <c r="O68" s="4">
        <f t="shared" si="12"/>
        <v>1115</v>
      </c>
      <c r="P68" s="4">
        <f t="shared" si="12"/>
        <v>19271</v>
      </c>
      <c r="Q68" s="4">
        <f t="shared" si="12"/>
        <v>20059</v>
      </c>
      <c r="R68" s="2">
        <f t="shared" ref="R68" si="14">(P68-Q68)/Q68</f>
        <v>-3.9284111869983547E-2</v>
      </c>
    </row>
    <row r="69" spans="1:18" ht="11.25" customHeight="1" x14ac:dyDescent="0.2">
      <c r="E69" s="4"/>
      <c r="F69" s="4"/>
      <c r="G69" s="13"/>
      <c r="H69" s="4"/>
      <c r="I69" s="4"/>
      <c r="J69" s="4"/>
      <c r="K69" s="2"/>
      <c r="L69" s="17"/>
      <c r="M69" s="4"/>
      <c r="N69" s="2"/>
      <c r="O69" s="4"/>
      <c r="P69" s="4"/>
      <c r="Q69" s="4"/>
      <c r="R69" s="2"/>
    </row>
    <row r="70" spans="1:18" ht="11.25" customHeight="1" x14ac:dyDescent="0.2">
      <c r="D70" s="4"/>
      <c r="E70" s="4"/>
      <c r="F70" s="4"/>
      <c r="G70" s="15"/>
      <c r="H70" s="4"/>
      <c r="I70" s="4"/>
      <c r="J70" s="4"/>
      <c r="K70" s="2"/>
      <c r="L70" s="19"/>
      <c r="M70" s="4"/>
      <c r="N70" s="2"/>
      <c r="O70" s="4"/>
      <c r="P70" s="4"/>
      <c r="Q70" s="4"/>
      <c r="R70" s="2"/>
    </row>
    <row r="71" spans="1:18" ht="11.25" customHeight="1" x14ac:dyDescent="0.2">
      <c r="A71" s="3">
        <v>5635</v>
      </c>
      <c r="B71" s="3">
        <v>6021</v>
      </c>
      <c r="D71" s="9" t="s">
        <v>87</v>
      </c>
      <c r="E71" s="8">
        <v>55</v>
      </c>
      <c r="F71" s="9">
        <f>A71-stpintb</f>
        <v>5180</v>
      </c>
      <c r="G71" s="13">
        <f>B71-stpintl</f>
        <v>5633</v>
      </c>
      <c r="H71" s="8">
        <v>20635</v>
      </c>
      <c r="I71" s="8">
        <v>271161</v>
      </c>
      <c r="J71" s="8">
        <v>239783</v>
      </c>
      <c r="K71" s="10">
        <f t="shared" ref="K71:K76" si="15">(I71-J71)/J71</f>
        <v>0.13085998590392145</v>
      </c>
      <c r="L71" s="17">
        <f>(H71-G71)/H71</f>
        <v>0.72701720377998547</v>
      </c>
      <c r="M71" s="8">
        <v>5784</v>
      </c>
      <c r="N71" s="10">
        <f>M71/allholds</f>
        <v>2.8937507191851071E-2</v>
      </c>
      <c r="O71" s="8">
        <v>5105</v>
      </c>
      <c r="P71" s="8">
        <v>79538</v>
      </c>
      <c r="Q71" s="9">
        <v>74170</v>
      </c>
      <c r="R71" s="10">
        <f t="shared" ref="R71:R76" si="16">(P71-Q71)/Q71</f>
        <v>7.2374275313469058E-2</v>
      </c>
    </row>
    <row r="72" spans="1:18" ht="11.25" customHeight="1" x14ac:dyDescent="0.2">
      <c r="A72" s="3">
        <v>254</v>
      </c>
      <c r="B72" s="3">
        <v>242</v>
      </c>
      <c r="D72" s="4" t="s">
        <v>88</v>
      </c>
      <c r="E72" s="6">
        <v>0</v>
      </c>
      <c r="F72" s="4">
        <f>A72-almintb</f>
        <v>164</v>
      </c>
      <c r="G72" s="13">
        <f>B72-almintl</f>
        <v>174</v>
      </c>
      <c r="H72" s="6">
        <v>397</v>
      </c>
      <c r="I72" s="6">
        <v>4526</v>
      </c>
      <c r="J72" s="6">
        <v>4859</v>
      </c>
      <c r="K72" s="2">
        <f t="shared" si="15"/>
        <v>-6.8532619880633874E-2</v>
      </c>
      <c r="L72" s="17">
        <f>(H72-G72)/H72</f>
        <v>0.5617128463476071</v>
      </c>
      <c r="M72" s="6">
        <v>223</v>
      </c>
      <c r="N72" s="2">
        <f>M72/allholds</f>
        <v>1.1156749833649358E-3</v>
      </c>
      <c r="O72" s="6">
        <v>188</v>
      </c>
      <c r="P72" s="6">
        <v>1928</v>
      </c>
      <c r="Q72" s="4">
        <v>1991</v>
      </c>
      <c r="R72" s="2">
        <f t="shared" si="16"/>
        <v>-3.164239075841286E-2</v>
      </c>
    </row>
    <row r="73" spans="1:18" ht="11.25" customHeight="1" x14ac:dyDescent="0.2">
      <c r="A73" s="3">
        <v>1205</v>
      </c>
      <c r="B73" s="3">
        <v>1536</v>
      </c>
      <c r="D73" s="4" t="s">
        <v>89</v>
      </c>
      <c r="E73" s="6">
        <v>10</v>
      </c>
      <c r="F73" s="14">
        <f>A73-plointb</f>
        <v>908</v>
      </c>
      <c r="G73" s="15">
        <f>B73-plointl</f>
        <v>1148</v>
      </c>
      <c r="H73" s="6">
        <v>3682</v>
      </c>
      <c r="I73" s="6">
        <v>51404</v>
      </c>
      <c r="J73" s="6">
        <v>49478</v>
      </c>
      <c r="K73" s="2">
        <f t="shared" si="15"/>
        <v>3.8926391527547594E-2</v>
      </c>
      <c r="L73" s="19">
        <f>(H73-G73)/H73</f>
        <v>0.68821292775665399</v>
      </c>
      <c r="M73" s="6">
        <v>1465</v>
      </c>
      <c r="N73" s="2">
        <f>M73/allholds</f>
        <v>7.3294343077561922E-3</v>
      </c>
      <c r="O73" s="6">
        <v>1235</v>
      </c>
      <c r="P73" s="6">
        <v>18519</v>
      </c>
      <c r="Q73" s="4">
        <v>19361</v>
      </c>
      <c r="R73" s="2">
        <f t="shared" si="16"/>
        <v>-4.3489489179277932E-2</v>
      </c>
    </row>
    <row r="74" spans="1:18" ht="11.25" customHeight="1" x14ac:dyDescent="0.2">
      <c r="A74" s="3">
        <v>510</v>
      </c>
      <c r="B74" s="3">
        <v>724</v>
      </c>
      <c r="D74" s="9" t="s">
        <v>90</v>
      </c>
      <c r="E74" s="8">
        <v>4</v>
      </c>
      <c r="F74" s="9">
        <f>A74-rosintb</f>
        <v>352</v>
      </c>
      <c r="G74" s="12">
        <f>B74-rosintl</f>
        <v>568</v>
      </c>
      <c r="H74" s="8">
        <v>1353</v>
      </c>
      <c r="I74" s="8">
        <v>18076</v>
      </c>
      <c r="J74" s="8">
        <v>16733</v>
      </c>
      <c r="K74" s="10">
        <f t="shared" si="15"/>
        <v>8.0260562959421508E-2</v>
      </c>
      <c r="L74" s="18">
        <f>(H74-G74)/H74</f>
        <v>0.58019216555801922</v>
      </c>
      <c r="M74" s="8">
        <v>495</v>
      </c>
      <c r="N74" s="10">
        <f>M74/allholds</f>
        <v>2.4764982814602836E-3</v>
      </c>
      <c r="O74" s="8">
        <v>456</v>
      </c>
      <c r="P74" s="8">
        <v>6770</v>
      </c>
      <c r="Q74" s="9">
        <v>6458</v>
      </c>
      <c r="R74" s="10">
        <f t="shared" si="16"/>
        <v>4.8312170950758751E-2</v>
      </c>
    </row>
    <row r="75" spans="1:18" ht="11.25" customHeight="1" x14ac:dyDescent="0.2">
      <c r="A75" s="5" t="s">
        <v>82</v>
      </c>
      <c r="B75" s="5" t="s">
        <v>82</v>
      </c>
      <c r="D75" s="4" t="s">
        <v>82</v>
      </c>
      <c r="E75" s="4" t="s">
        <v>82</v>
      </c>
      <c r="F75" s="4" t="s">
        <v>82</v>
      </c>
      <c r="G75" s="13" t="s">
        <v>82</v>
      </c>
      <c r="H75" s="4" t="s">
        <v>82</v>
      </c>
      <c r="I75" s="4" t="s">
        <v>82</v>
      </c>
      <c r="J75" s="4" t="s">
        <v>82</v>
      </c>
      <c r="K75" s="2" t="s">
        <v>82</v>
      </c>
      <c r="L75" s="17" t="s">
        <v>82</v>
      </c>
      <c r="M75" s="2" t="s">
        <v>82</v>
      </c>
      <c r="N75" s="2" t="s">
        <v>82</v>
      </c>
      <c r="O75" s="4" t="s">
        <v>82</v>
      </c>
      <c r="P75" s="4" t="s">
        <v>82</v>
      </c>
      <c r="Q75" s="4" t="s">
        <v>82</v>
      </c>
      <c r="R75" s="2" t="s">
        <v>82</v>
      </c>
    </row>
    <row r="76" spans="1:18" ht="11.25" customHeight="1" x14ac:dyDescent="0.2">
      <c r="A76" s="4">
        <f>SUM(A71:A74)</f>
        <v>7604</v>
      </c>
      <c r="B76" s="4">
        <f>SUM(B71:B74)</f>
        <v>8523</v>
      </c>
      <c r="D76" s="4" t="s">
        <v>91</v>
      </c>
      <c r="E76" s="4">
        <f>SUM(E71:E74)</f>
        <v>69</v>
      </c>
      <c r="F76" s="4">
        <f>SUM(F71:F75)</f>
        <v>6604</v>
      </c>
      <c r="G76" s="13">
        <f>SUM(G71:G74)</f>
        <v>7523</v>
      </c>
      <c r="H76" s="4">
        <f>SUM(H71:H74)</f>
        <v>26067</v>
      </c>
      <c r="I76" s="4">
        <f>SUM(I71:I74)</f>
        <v>345167</v>
      </c>
      <c r="J76" s="4">
        <f>SUM(J71:J74)</f>
        <v>310853</v>
      </c>
      <c r="K76" s="2">
        <f t="shared" si="15"/>
        <v>0.11038658143881513</v>
      </c>
      <c r="L76" s="17">
        <f>(H76-G76)/H76</f>
        <v>0.71139755246096592</v>
      </c>
      <c r="M76" s="4">
        <f>SUM(M71:M74)</f>
        <v>7967</v>
      </c>
      <c r="N76" s="2">
        <f>SUM(N71:N75)</f>
        <v>3.9859114764432484E-2</v>
      </c>
      <c r="O76" s="4">
        <f>SUM(O71:O74)</f>
        <v>6984</v>
      </c>
      <c r="P76" s="4">
        <f>SUM(P71:P74)</f>
        <v>106755</v>
      </c>
      <c r="Q76" s="4">
        <f>SUM(Q71:Q74)</f>
        <v>101980</v>
      </c>
      <c r="R76" s="2">
        <f t="shared" si="16"/>
        <v>4.6822906452245537E-2</v>
      </c>
    </row>
    <row r="77" spans="1:18" ht="11.25" customHeight="1" x14ac:dyDescent="0.2">
      <c r="A77" s="5" t="s">
        <v>82</v>
      </c>
      <c r="B77" s="5" t="s">
        <v>82</v>
      </c>
      <c r="D77" s="4" t="s">
        <v>82</v>
      </c>
      <c r="E77" s="4" t="s">
        <v>82</v>
      </c>
      <c r="F77" s="4" t="s">
        <v>82</v>
      </c>
      <c r="G77" s="13" t="str">
        <f>B77</f>
        <v>---------</v>
      </c>
      <c r="H77" s="4" t="s">
        <v>82</v>
      </c>
      <c r="I77" s="4" t="s">
        <v>82</v>
      </c>
      <c r="J77" s="4" t="s">
        <v>82</v>
      </c>
      <c r="K77" s="4" t="s">
        <v>82</v>
      </c>
      <c r="L77" s="13" t="s">
        <v>82</v>
      </c>
      <c r="M77" s="4" t="s">
        <v>82</v>
      </c>
      <c r="N77" s="2" t="s">
        <v>82</v>
      </c>
      <c r="O77" s="4" t="s">
        <v>82</v>
      </c>
      <c r="P77" s="4" t="s">
        <v>82</v>
      </c>
      <c r="Q77" s="4" t="s">
        <v>82</v>
      </c>
      <c r="R77" s="2" t="s">
        <v>82</v>
      </c>
    </row>
    <row r="78" spans="1:18" ht="11.25" customHeight="1" x14ac:dyDescent="0.2">
      <c r="A78" s="4">
        <f>A61+A68+A76</f>
        <v>152370</v>
      </c>
      <c r="B78" s="4">
        <f>B61+B68+B76</f>
        <v>141071</v>
      </c>
      <c r="D78" s="4" t="s">
        <v>92</v>
      </c>
      <c r="E78" s="4">
        <f>nonmplpocoscid+pocoscid+dclsscid</f>
        <v>1368</v>
      </c>
      <c r="F78" s="4">
        <f>F61+F76+F68</f>
        <v>151216</v>
      </c>
      <c r="G78" s="13">
        <f>G61+G76+G68</f>
        <v>139917</v>
      </c>
      <c r="H78" s="4">
        <f>H61+H76+H68</f>
        <v>419234</v>
      </c>
      <c r="I78" s="4">
        <f>I61+I76+I68</f>
        <v>5710219</v>
      </c>
      <c r="J78" s="4">
        <f>J61+J76+J68</f>
        <v>4767761</v>
      </c>
      <c r="K78" s="2">
        <f>(I78-J78)/J78</f>
        <v>0.19767307966989117</v>
      </c>
      <c r="L78" s="17">
        <f>(H78-G78)/H78</f>
        <v>0.66625559949813229</v>
      </c>
      <c r="M78" s="4">
        <f>M61+M76+M68</f>
        <v>130684</v>
      </c>
      <c r="N78" s="2">
        <f>N61+N76+N68</f>
        <v>0.65381555841283978</v>
      </c>
      <c r="O78" s="4">
        <f>O61+O76+O68</f>
        <v>112798</v>
      </c>
      <c r="P78" s="4">
        <f>P61+P76+P68</f>
        <v>1783506</v>
      </c>
      <c r="Q78" s="4">
        <f>Q61+Q76+Q68</f>
        <v>1810456</v>
      </c>
      <c r="R78" s="2">
        <f>(P78-Q78)/Q78</f>
        <v>-1.4885752539691658E-2</v>
      </c>
    </row>
    <row r="79" spans="1:18" ht="11.25" customHeight="1" x14ac:dyDescent="0.2">
      <c r="A79" s="4"/>
      <c r="B79" s="4"/>
      <c r="E79" s="4"/>
      <c r="F79" s="4"/>
      <c r="G79" s="13"/>
      <c r="K79" s="2"/>
      <c r="L79" s="17"/>
      <c r="M79" s="4"/>
      <c r="O79" s="4"/>
      <c r="P79" s="4"/>
      <c r="R79" s="2"/>
    </row>
    <row r="80" spans="1:18" ht="11.25" customHeight="1" x14ac:dyDescent="0.2">
      <c r="A80" s="4"/>
      <c r="B80" s="4"/>
      <c r="E80" s="4"/>
      <c r="F80" s="4"/>
      <c r="G80" s="13"/>
      <c r="K80" s="2"/>
      <c r="L80" s="17"/>
      <c r="M80" s="4"/>
      <c r="O80" s="4"/>
      <c r="P80" s="4"/>
      <c r="R80" s="2"/>
    </row>
    <row r="81" spans="1:18" ht="11.25" customHeight="1" x14ac:dyDescent="0.2">
      <c r="F81" s="4"/>
      <c r="G81" s="15"/>
      <c r="L81" s="21"/>
      <c r="M81" s="4"/>
      <c r="N81" s="2"/>
      <c r="O81" s="4"/>
      <c r="P81" s="4"/>
    </row>
    <row r="82" spans="1:18" ht="11.25" customHeight="1" x14ac:dyDescent="0.2">
      <c r="A82" s="3">
        <v>26577</v>
      </c>
      <c r="B82" s="3">
        <v>7722</v>
      </c>
      <c r="D82" s="9" t="s">
        <v>93</v>
      </c>
      <c r="E82" s="8">
        <v>217</v>
      </c>
      <c r="F82" s="9">
        <f>A82-madintb-nonmplscid</f>
        <v>11603</v>
      </c>
      <c r="G82" s="12">
        <f>B82-madintl+E82</f>
        <v>4745</v>
      </c>
      <c r="H82" s="8">
        <v>26463</v>
      </c>
      <c r="I82" s="8">
        <v>335591</v>
      </c>
      <c r="J82" s="8">
        <v>276240</v>
      </c>
      <c r="K82" s="10">
        <f t="shared" ref="K82:K90" si="17">(I82-J82)/J82</f>
        <v>0.21485302635389517</v>
      </c>
      <c r="L82" s="18">
        <f t="shared" ref="L82:L90" si="18">(H82-G82)/H82</f>
        <v>0.82069304311680458</v>
      </c>
      <c r="M82" s="8">
        <v>8392</v>
      </c>
      <c r="N82" s="10">
        <f t="shared" ref="N82:N90" si="19">M82/allholds</f>
        <v>4.1985401167706465E-2</v>
      </c>
      <c r="O82" s="8">
        <v>6852</v>
      </c>
      <c r="P82" s="8">
        <v>109348</v>
      </c>
      <c r="Q82" s="9">
        <v>118035</v>
      </c>
      <c r="R82" s="10">
        <f t="shared" ref="R82:R90" si="20">(P82-Q82)/Q82</f>
        <v>-7.3596814504172492E-2</v>
      </c>
    </row>
    <row r="83" spans="1:18" ht="11.25" customHeight="1" x14ac:dyDescent="0.2">
      <c r="A83" s="3">
        <v>6907</v>
      </c>
      <c r="B83" s="3">
        <v>8354</v>
      </c>
      <c r="D83" s="4" t="s">
        <v>94</v>
      </c>
      <c r="E83" s="6">
        <v>116</v>
      </c>
      <c r="F83" s="4">
        <f>A83-hpbintb</f>
        <v>3248</v>
      </c>
      <c r="G83" s="13">
        <f>B83-hpbintl+E83</f>
        <v>4998</v>
      </c>
      <c r="H83" s="6">
        <v>18226</v>
      </c>
      <c r="I83" s="6">
        <v>245777</v>
      </c>
      <c r="J83" s="6">
        <v>222957</v>
      </c>
      <c r="K83" s="2">
        <f t="shared" si="17"/>
        <v>0.10235157451885341</v>
      </c>
      <c r="L83" s="17">
        <f t="shared" si="18"/>
        <v>0.72577636343684848</v>
      </c>
      <c r="M83" s="6">
        <v>7227</v>
      </c>
      <c r="N83" s="2">
        <f t="shared" si="19"/>
        <v>3.6156874909320139E-2</v>
      </c>
      <c r="O83" s="6">
        <v>6086</v>
      </c>
      <c r="P83" s="6">
        <v>102263</v>
      </c>
      <c r="Q83" s="4">
        <v>111075</v>
      </c>
      <c r="R83" s="2">
        <f t="shared" si="20"/>
        <v>-7.9333783479630882E-2</v>
      </c>
    </row>
    <row r="84" spans="1:18" ht="11.25" customHeight="1" x14ac:dyDescent="0.2">
      <c r="A84" s="3">
        <v>3730</v>
      </c>
      <c r="B84" s="3">
        <v>6455</v>
      </c>
      <c r="D84" s="4" t="s">
        <v>95</v>
      </c>
      <c r="E84" s="6">
        <v>47</v>
      </c>
      <c r="F84" s="14">
        <f>A84-hawintb</f>
        <v>1554</v>
      </c>
      <c r="G84" s="15">
        <f>B84-hawintl+E84</f>
        <v>3318</v>
      </c>
      <c r="H84" s="6">
        <v>12298</v>
      </c>
      <c r="I84" s="6">
        <v>157566</v>
      </c>
      <c r="J84" s="6">
        <v>157468</v>
      </c>
      <c r="K84" s="2">
        <f t="shared" si="17"/>
        <v>6.2234866766581142E-4</v>
      </c>
      <c r="L84" s="19">
        <f t="shared" si="18"/>
        <v>0.73020003252561394</v>
      </c>
      <c r="M84" s="6">
        <v>5769</v>
      </c>
      <c r="N84" s="2">
        <f t="shared" si="19"/>
        <v>2.8862461789382576E-2</v>
      </c>
      <c r="O84" s="6">
        <v>4705</v>
      </c>
      <c r="P84" s="6">
        <v>74776</v>
      </c>
      <c r="Q84" s="4">
        <v>86810</v>
      </c>
      <c r="R84" s="2">
        <f t="shared" si="20"/>
        <v>-0.13862458242138004</v>
      </c>
    </row>
    <row r="85" spans="1:18" ht="11.25" customHeight="1" x14ac:dyDescent="0.2">
      <c r="A85" s="3">
        <v>3769</v>
      </c>
      <c r="B85" s="3">
        <v>7876</v>
      </c>
      <c r="D85" s="9" t="s">
        <v>96</v>
      </c>
      <c r="E85" s="8">
        <v>104</v>
      </c>
      <c r="F85" s="9">
        <f>A85-lakintb</f>
        <v>1791</v>
      </c>
      <c r="G85" s="12">
        <f>B85-lakintl+E85</f>
        <v>4377</v>
      </c>
      <c r="H85" s="8">
        <v>15632</v>
      </c>
      <c r="I85" s="8">
        <v>201915</v>
      </c>
      <c r="J85" s="8">
        <v>163853</v>
      </c>
      <c r="K85" s="10">
        <f t="shared" si="17"/>
        <v>0.23229358022129593</v>
      </c>
      <c r="L85" s="18">
        <f t="shared" si="18"/>
        <v>0.71999744114636643</v>
      </c>
      <c r="M85" s="8">
        <v>7010</v>
      </c>
      <c r="N85" s="10">
        <f t="shared" si="19"/>
        <v>3.50712180869426E-2</v>
      </c>
      <c r="O85" s="8">
        <v>6108</v>
      </c>
      <c r="P85" s="8">
        <v>89403</v>
      </c>
      <c r="Q85" s="9">
        <v>86630</v>
      </c>
      <c r="R85" s="10">
        <f t="shared" si="20"/>
        <v>3.2009696410019627E-2</v>
      </c>
    </row>
    <row r="86" spans="1:18" ht="11.25" customHeight="1" x14ac:dyDescent="0.2">
      <c r="A86" s="3">
        <v>3797</v>
      </c>
      <c r="B86" s="3">
        <v>5250</v>
      </c>
      <c r="D86" s="4" t="s">
        <v>97</v>
      </c>
      <c r="E86" s="6">
        <v>60</v>
      </c>
      <c r="F86" s="4">
        <f>A86-meaintb</f>
        <v>1597</v>
      </c>
      <c r="G86" s="13">
        <f>B86-meaintl+E86</f>
        <v>3039</v>
      </c>
      <c r="H86" s="6">
        <v>9511</v>
      </c>
      <c r="I86" s="6">
        <v>130227</v>
      </c>
      <c r="J86" s="6">
        <v>116642</v>
      </c>
      <c r="K86" s="2">
        <f t="shared" si="17"/>
        <v>0.11646748169613004</v>
      </c>
      <c r="L86" s="17">
        <f t="shared" si="18"/>
        <v>0.68047523919671959</v>
      </c>
      <c r="M86" s="6">
        <v>4361</v>
      </c>
      <c r="N86" s="2">
        <f t="shared" si="19"/>
        <v>2.181820001100666E-2</v>
      </c>
      <c r="O86" s="6">
        <v>3660</v>
      </c>
      <c r="P86" s="6">
        <v>61740</v>
      </c>
      <c r="Q86" s="4">
        <v>63387</v>
      </c>
      <c r="R86" s="2">
        <f t="shared" si="20"/>
        <v>-2.5983245775947749E-2</v>
      </c>
    </row>
    <row r="87" spans="1:18" ht="11.25" customHeight="1" x14ac:dyDescent="0.2">
      <c r="A87" s="3">
        <v>1308</v>
      </c>
      <c r="B87" s="3">
        <v>4695</v>
      </c>
      <c r="D87" s="4" t="s">
        <v>98</v>
      </c>
      <c r="E87" s="6">
        <v>42</v>
      </c>
      <c r="F87" s="4">
        <f>A87-msbintb</f>
        <v>799</v>
      </c>
      <c r="G87" s="13">
        <f>B87-msbintl+E87</f>
        <v>2506</v>
      </c>
      <c r="H87" s="6">
        <v>7972</v>
      </c>
      <c r="I87" s="6">
        <v>98609</v>
      </c>
      <c r="J87" s="6">
        <v>91319</v>
      </c>
      <c r="K87" s="2">
        <f t="shared" si="17"/>
        <v>7.9830046321137993E-2</v>
      </c>
      <c r="L87" s="17">
        <f t="shared" si="18"/>
        <v>0.68564977420973405</v>
      </c>
      <c r="M87" s="6">
        <v>4069</v>
      </c>
      <c r="N87" s="2">
        <f t="shared" si="19"/>
        <v>2.0357316176286652E-2</v>
      </c>
      <c r="O87" s="6">
        <v>3252</v>
      </c>
      <c r="P87" s="6">
        <v>49637</v>
      </c>
      <c r="Q87" s="4">
        <v>53371</v>
      </c>
      <c r="R87" s="2">
        <f t="shared" si="20"/>
        <v>-6.9963088568698359E-2</v>
      </c>
    </row>
    <row r="88" spans="1:18" ht="11.25" customHeight="1" x14ac:dyDescent="0.2">
      <c r="A88" s="3">
        <v>6791</v>
      </c>
      <c r="B88" s="3">
        <v>14092</v>
      </c>
      <c r="D88" s="9" t="s">
        <v>99</v>
      </c>
      <c r="E88" s="8">
        <v>187</v>
      </c>
      <c r="F88" s="9">
        <f>A88-pinintb</f>
        <v>3241</v>
      </c>
      <c r="G88" s="12">
        <f>B88-pinintl+E88</f>
        <v>8130</v>
      </c>
      <c r="H88" s="8">
        <v>35052</v>
      </c>
      <c r="I88" s="8">
        <v>461005</v>
      </c>
      <c r="J88" s="8">
        <v>373404</v>
      </c>
      <c r="K88" s="10">
        <f t="shared" si="17"/>
        <v>0.23460112907199709</v>
      </c>
      <c r="L88" s="18">
        <f t="shared" si="18"/>
        <v>0.7680588839438548</v>
      </c>
      <c r="M88" s="8">
        <v>13339</v>
      </c>
      <c r="N88" s="10">
        <f t="shared" si="19"/>
        <v>6.6735374901815595E-2</v>
      </c>
      <c r="O88" s="8">
        <v>11361</v>
      </c>
      <c r="P88" s="8">
        <v>173349</v>
      </c>
      <c r="Q88" s="9">
        <v>171800</v>
      </c>
      <c r="R88" s="10">
        <f t="shared" si="20"/>
        <v>9.0162980209545981E-3</v>
      </c>
    </row>
    <row r="89" spans="1:18" ht="11.25" customHeight="1" x14ac:dyDescent="0.2">
      <c r="A89" s="3">
        <v>6768</v>
      </c>
      <c r="B89" s="3">
        <v>17459</v>
      </c>
      <c r="D89" s="4" t="s">
        <v>100</v>
      </c>
      <c r="E89" s="6">
        <v>236</v>
      </c>
      <c r="F89" s="4">
        <f>A89-seqintb</f>
        <v>3526</v>
      </c>
      <c r="G89" s="13">
        <f>B89-seqintl+E89</f>
        <v>10250</v>
      </c>
      <c r="H89" s="6">
        <v>44718</v>
      </c>
      <c r="I89" s="6">
        <v>583034</v>
      </c>
      <c r="J89" s="6">
        <v>518054</v>
      </c>
      <c r="K89" s="2">
        <f t="shared" si="17"/>
        <v>0.12543093963177585</v>
      </c>
      <c r="L89" s="17">
        <f t="shared" si="18"/>
        <v>0.77078581331902141</v>
      </c>
      <c r="M89" s="6">
        <v>16637</v>
      </c>
      <c r="N89" s="2">
        <f t="shared" si="19"/>
        <v>8.323535739122169E-2</v>
      </c>
      <c r="O89" s="6">
        <v>14143</v>
      </c>
      <c r="P89" s="6">
        <v>220061</v>
      </c>
      <c r="Q89" s="4">
        <v>248511</v>
      </c>
      <c r="R89" s="2">
        <f t="shared" si="20"/>
        <v>-0.11448185392195918</v>
      </c>
    </row>
    <row r="90" spans="1:18" ht="11.25" customHeight="1" x14ac:dyDescent="0.2">
      <c r="A90" s="3">
        <v>3713</v>
      </c>
      <c r="B90" s="3">
        <v>2756</v>
      </c>
      <c r="D90" s="4" t="s">
        <v>101</v>
      </c>
      <c r="E90" s="6">
        <v>29</v>
      </c>
      <c r="F90" s="4">
        <f>A90-smbintb</f>
        <v>1677</v>
      </c>
      <c r="G90" s="13">
        <f>B90-smbintl+E90</f>
        <v>1378</v>
      </c>
      <c r="H90" s="6">
        <v>6015</v>
      </c>
      <c r="I90" s="6">
        <v>83933</v>
      </c>
      <c r="J90" s="6">
        <v>73834</v>
      </c>
      <c r="K90" s="2">
        <f t="shared" si="17"/>
        <v>0.13677980334263348</v>
      </c>
      <c r="L90" s="17">
        <f t="shared" si="18"/>
        <v>0.77090606816292606</v>
      </c>
      <c r="M90" s="6">
        <v>2391</v>
      </c>
      <c r="N90" s="2">
        <f t="shared" si="19"/>
        <v>1.1962237153477854E-2</v>
      </c>
      <c r="O90" s="6">
        <v>1866</v>
      </c>
      <c r="P90" s="6">
        <v>31650</v>
      </c>
      <c r="Q90" s="4">
        <v>34997</v>
      </c>
      <c r="R90" s="2">
        <f t="shared" si="20"/>
        <v>-9.5636768865902791E-2</v>
      </c>
    </row>
    <row r="91" spans="1:18" ht="11.25" customHeight="1" x14ac:dyDescent="0.2">
      <c r="A91" s="5" t="s">
        <v>82</v>
      </c>
      <c r="B91" s="5" t="s">
        <v>82</v>
      </c>
      <c r="D91" s="4" t="s">
        <v>82</v>
      </c>
      <c r="E91" s="6" t="s">
        <v>82</v>
      </c>
      <c r="F91" s="6" t="s">
        <v>82</v>
      </c>
      <c r="G91" s="13" t="s">
        <v>82</v>
      </c>
      <c r="H91" s="6" t="s">
        <v>82</v>
      </c>
      <c r="I91" s="6" t="s">
        <v>82</v>
      </c>
      <c r="J91" s="6" t="s">
        <v>82</v>
      </c>
      <c r="K91" s="2" t="s">
        <v>82</v>
      </c>
      <c r="L91" s="13" t="s">
        <v>82</v>
      </c>
      <c r="M91" s="6" t="s">
        <v>82</v>
      </c>
      <c r="N91" s="2" t="s">
        <v>82</v>
      </c>
      <c r="O91" s="6" t="s">
        <v>82</v>
      </c>
      <c r="P91" s="6" t="s">
        <v>82</v>
      </c>
      <c r="Q91" s="4" t="s">
        <v>82</v>
      </c>
      <c r="R91" s="2" t="s">
        <v>82</v>
      </c>
    </row>
    <row r="92" spans="1:18" ht="11.25" customHeight="1" x14ac:dyDescent="0.2">
      <c r="A92" s="4">
        <f>SUM(A81:A91)</f>
        <v>63360</v>
      </c>
      <c r="B92" s="4">
        <f>SUM(B81:B91)</f>
        <v>74659</v>
      </c>
      <c r="D92" s="4" t="s">
        <v>102</v>
      </c>
      <c r="E92" s="4">
        <f>SUM(E82:E90)</f>
        <v>1038</v>
      </c>
      <c r="F92" s="4">
        <f t="shared" ref="F92:J92" si="21">SUM(F82:F90)</f>
        <v>29036</v>
      </c>
      <c r="G92" s="4">
        <f t="shared" si="21"/>
        <v>42741</v>
      </c>
      <c r="H92" s="4">
        <f t="shared" si="21"/>
        <v>175887</v>
      </c>
      <c r="I92" s="4">
        <f t="shared" si="21"/>
        <v>2297657</v>
      </c>
      <c r="J92" s="4">
        <f t="shared" si="21"/>
        <v>1993771</v>
      </c>
      <c r="K92" s="2">
        <f>(I92-J92)/J92</f>
        <v>0.15241770494204199</v>
      </c>
      <c r="L92" s="17">
        <f>(H92-G92)/H92</f>
        <v>0.75699739036995339</v>
      </c>
      <c r="M92" s="4">
        <f>SUM(M82:M90)</f>
        <v>69195</v>
      </c>
      <c r="N92" s="2">
        <f>SUM(N82:N90)</f>
        <v>0.34618444158716016</v>
      </c>
      <c r="O92" s="4">
        <f>SUM(O82:O90)</f>
        <v>58033</v>
      </c>
      <c r="P92" s="4">
        <f t="shared" ref="P92:Q92" si="22">SUM(P82:P90)</f>
        <v>912227</v>
      </c>
      <c r="Q92" s="4">
        <f t="shared" si="22"/>
        <v>974616</v>
      </c>
      <c r="R92" s="2">
        <f>(P92-Q92)/Q92</f>
        <v>-6.4013929588679033E-2</v>
      </c>
    </row>
    <row r="93" spans="1:18" x14ac:dyDescent="0.2">
      <c r="G93" s="22"/>
      <c r="L93" s="16"/>
    </row>
    <row r="94" spans="1:18" ht="11.25" customHeight="1" x14ac:dyDescent="0.2">
      <c r="A94" s="5" t="s">
        <v>103</v>
      </c>
      <c r="B94" s="5" t="s">
        <v>103</v>
      </c>
      <c r="D94" s="4" t="s">
        <v>103</v>
      </c>
      <c r="E94" s="4" t="s">
        <v>103</v>
      </c>
      <c r="F94" s="4" t="s">
        <v>103</v>
      </c>
      <c r="G94" s="13" t="s">
        <v>103</v>
      </c>
      <c r="H94" s="4" t="s">
        <v>103</v>
      </c>
      <c r="I94" s="4" t="s">
        <v>103</v>
      </c>
      <c r="J94" s="4" t="s">
        <v>103</v>
      </c>
      <c r="K94" s="2" t="s">
        <v>103</v>
      </c>
      <c r="L94" s="17" t="s">
        <v>103</v>
      </c>
      <c r="M94" s="4" t="s">
        <v>103</v>
      </c>
      <c r="N94" s="2" t="s">
        <v>103</v>
      </c>
      <c r="O94" s="4" t="s">
        <v>103</v>
      </c>
      <c r="P94" s="4" t="s">
        <v>103</v>
      </c>
      <c r="Q94" s="4" t="s">
        <v>103</v>
      </c>
      <c r="R94" s="2" t="s">
        <v>103</v>
      </c>
    </row>
    <row r="95" spans="1:18" ht="11.25" customHeight="1" x14ac:dyDescent="0.2">
      <c r="A95" s="36">
        <f>A61+A68+A92+A76</f>
        <v>215730</v>
      </c>
      <c r="B95" s="36">
        <f>B61+B68+B92+B76</f>
        <v>215730</v>
      </c>
      <c r="D95" s="4" t="s">
        <v>104</v>
      </c>
      <c r="E95" s="4">
        <f>mplscid+nonmplscid</f>
        <v>2406</v>
      </c>
      <c r="F95" s="4">
        <f>F92+F61+F68+F76</f>
        <v>180252</v>
      </c>
      <c r="G95" s="4">
        <f>G92+G61+G68+G76</f>
        <v>182658</v>
      </c>
      <c r="H95" s="4">
        <f>H92+H61+H68+H76</f>
        <v>595121</v>
      </c>
      <c r="I95" s="4">
        <f>I92+I61+I68+I76</f>
        <v>8007876</v>
      </c>
      <c r="J95" s="4">
        <f>J92+J61+J68+J76</f>
        <v>6761532</v>
      </c>
      <c r="K95" s="2">
        <f>(I95-J95)/J95</f>
        <v>0.18432864031405902</v>
      </c>
      <c r="L95" s="17">
        <f>(H95-G95)/H95</f>
        <v>0.69307418155299505</v>
      </c>
      <c r="M95" s="4">
        <f>M92+M61+M68+M76</f>
        <v>199879</v>
      </c>
      <c r="N95" s="2">
        <f>N92+N61+N76</f>
        <v>0.99401137688301411</v>
      </c>
      <c r="O95" s="4">
        <f>O92+O61+O68+O76</f>
        <v>170831</v>
      </c>
      <c r="P95" s="4">
        <f>P92+P61+P68+P76</f>
        <v>2695733</v>
      </c>
      <c r="Q95" s="4">
        <f>Q92+Q61+Q68+Q76</f>
        <v>2785072</v>
      </c>
      <c r="R95" s="2">
        <f>(P95-Q95)/Q95</f>
        <v>-3.2077806247019829E-2</v>
      </c>
    </row>
  </sheetData>
  <mergeCells count="9">
    <mergeCell ref="A4:B4"/>
    <mergeCell ref="F4:G4"/>
    <mergeCell ref="A5:B5"/>
    <mergeCell ref="F5:G5"/>
    <mergeCell ref="E1:I1"/>
    <mergeCell ref="J1:K1"/>
    <mergeCell ref="F3:G3"/>
    <mergeCell ref="H3:K3"/>
    <mergeCell ref="M3:P3"/>
  </mergeCells>
  <printOptions horizontalCentered="1"/>
  <pageMargins left="0.75" right="0.75" top="1" bottom="1" header="0.5" footer="0.5"/>
  <pageSetup firstPageNumber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/>
  </sheetViews>
  <sheetFormatPr defaultColWidth="11.42578125" defaultRowHeight="12.75" x14ac:dyDescent="0.2"/>
  <cols>
    <col min="1" max="1025" width="9.140625" style="11" customWidth="1"/>
  </cols>
  <sheetData>
    <row r="1" spans="1:13" ht="11.25" customHeight="1" x14ac:dyDescent="0.2">
      <c r="A1" s="36" t="s">
        <v>105</v>
      </c>
      <c r="F1" s="49">
        <f>'LINK Summary'!J1</f>
        <v>44896</v>
      </c>
      <c r="G1" s="47"/>
    </row>
    <row r="3" spans="1:13" ht="11.25" customHeight="1" x14ac:dyDescent="0.2">
      <c r="B3" s="36"/>
      <c r="C3" s="24"/>
      <c r="D3" s="36"/>
      <c r="E3" s="24"/>
      <c r="F3" s="36"/>
      <c r="G3" s="24"/>
      <c r="H3" s="36"/>
      <c r="I3" s="24"/>
      <c r="J3" s="36"/>
      <c r="K3" s="24"/>
      <c r="L3" s="36"/>
      <c r="M3" s="24"/>
    </row>
    <row r="4" spans="1:13" ht="11.25" customHeight="1" x14ac:dyDescent="0.2">
      <c r="B4" s="50" t="s">
        <v>106</v>
      </c>
      <c r="C4" s="47"/>
      <c r="D4" s="51" t="s">
        <v>107</v>
      </c>
      <c r="E4" s="47"/>
      <c r="F4" s="37" t="s">
        <v>108</v>
      </c>
      <c r="G4" s="38"/>
      <c r="H4" s="37" t="s">
        <v>109</v>
      </c>
      <c r="I4" s="38"/>
      <c r="J4" s="37" t="s">
        <v>110</v>
      </c>
      <c r="K4" s="38"/>
      <c r="L4" s="50" t="s">
        <v>111</v>
      </c>
      <c r="M4" s="47"/>
    </row>
    <row r="5" spans="1:13" ht="11.25" customHeight="1" x14ac:dyDescent="0.2">
      <c r="B5" s="36" t="s">
        <v>112</v>
      </c>
      <c r="C5" s="23" t="s">
        <v>113</v>
      </c>
      <c r="D5" s="36" t="s">
        <v>112</v>
      </c>
      <c r="E5" s="23" t="s">
        <v>113</v>
      </c>
      <c r="F5" s="36" t="s">
        <v>112</v>
      </c>
      <c r="G5" s="23" t="s">
        <v>113</v>
      </c>
      <c r="H5" s="36" t="s">
        <v>112</v>
      </c>
      <c r="I5" s="23" t="s">
        <v>113</v>
      </c>
      <c r="J5" s="36" t="s">
        <v>112</v>
      </c>
      <c r="K5" s="23" t="s">
        <v>113</v>
      </c>
      <c r="L5" s="36" t="s">
        <v>112</v>
      </c>
      <c r="M5" s="23" t="s">
        <v>113</v>
      </c>
    </row>
    <row r="6" spans="1:13" ht="11.25" customHeight="1" x14ac:dyDescent="0.2">
      <c r="B6" s="36"/>
      <c r="C6" s="24"/>
      <c r="D6" s="36"/>
      <c r="E6" s="24"/>
      <c r="F6" s="36"/>
      <c r="G6" s="24"/>
      <c r="H6" s="36"/>
      <c r="I6" s="24"/>
      <c r="J6" s="36"/>
      <c r="K6" s="24"/>
      <c r="L6" s="36"/>
      <c r="M6" s="24"/>
    </row>
    <row r="7" spans="1:13" ht="11.25" customHeight="1" x14ac:dyDescent="0.2">
      <c r="A7" s="36" t="s">
        <v>93</v>
      </c>
      <c r="B7" s="7"/>
      <c r="C7" s="25"/>
      <c r="D7" s="7">
        <v>626</v>
      </c>
      <c r="E7" s="25">
        <v>1622</v>
      </c>
      <c r="F7" s="7">
        <v>367</v>
      </c>
      <c r="G7" s="25">
        <v>1361</v>
      </c>
      <c r="H7" s="7">
        <v>329</v>
      </c>
      <c r="I7" s="25">
        <v>1447</v>
      </c>
      <c r="J7" s="7">
        <v>271</v>
      </c>
      <c r="K7" s="25">
        <v>1100</v>
      </c>
      <c r="L7" s="7">
        <v>121</v>
      </c>
      <c r="M7" s="25">
        <v>1061</v>
      </c>
    </row>
    <row r="8" spans="1:13" ht="11.25" customHeight="1" x14ac:dyDescent="0.2">
      <c r="A8" s="36" t="s">
        <v>94</v>
      </c>
      <c r="B8" s="7">
        <v>1622</v>
      </c>
      <c r="C8" s="25">
        <v>626</v>
      </c>
      <c r="E8" s="26"/>
      <c r="F8" s="7">
        <v>181</v>
      </c>
      <c r="G8" s="25">
        <v>276</v>
      </c>
      <c r="H8" s="7">
        <v>235</v>
      </c>
      <c r="I8" s="25">
        <v>318</v>
      </c>
      <c r="J8" s="7">
        <v>313</v>
      </c>
      <c r="K8" s="25">
        <v>166</v>
      </c>
      <c r="L8" s="7">
        <v>33</v>
      </c>
      <c r="M8" s="25">
        <v>76</v>
      </c>
    </row>
    <row r="9" spans="1:13" ht="11.25" customHeight="1" x14ac:dyDescent="0.2">
      <c r="A9" s="36" t="s">
        <v>95</v>
      </c>
      <c r="B9" s="7">
        <v>1361</v>
      </c>
      <c r="C9" s="25">
        <v>367</v>
      </c>
      <c r="D9" s="7">
        <v>276</v>
      </c>
      <c r="E9" s="25">
        <v>181</v>
      </c>
      <c r="G9" s="26"/>
      <c r="H9" s="7">
        <v>152</v>
      </c>
      <c r="I9" s="25">
        <v>479</v>
      </c>
      <c r="J9" s="7">
        <v>121</v>
      </c>
      <c r="K9" s="25">
        <v>179</v>
      </c>
      <c r="L9" s="7">
        <v>34</v>
      </c>
      <c r="M9" s="25">
        <v>134</v>
      </c>
    </row>
    <row r="10" spans="1:13" ht="11.25" customHeight="1" x14ac:dyDescent="0.2">
      <c r="A10" s="36" t="s">
        <v>96</v>
      </c>
      <c r="B10" s="7">
        <v>1447</v>
      </c>
      <c r="C10" s="25">
        <v>329</v>
      </c>
      <c r="D10" s="7">
        <v>318</v>
      </c>
      <c r="E10" s="25">
        <v>235</v>
      </c>
      <c r="F10" s="7">
        <v>479</v>
      </c>
      <c r="G10" s="25">
        <v>152</v>
      </c>
      <c r="H10" s="7"/>
      <c r="I10" s="25"/>
      <c r="J10" s="7">
        <v>139</v>
      </c>
      <c r="K10" s="25">
        <v>212</v>
      </c>
      <c r="L10" s="7">
        <v>38</v>
      </c>
      <c r="M10" s="25">
        <v>151</v>
      </c>
    </row>
    <row r="11" spans="1:13" ht="11.25" customHeight="1" x14ac:dyDescent="0.2">
      <c r="A11" s="36" t="s">
        <v>97</v>
      </c>
      <c r="B11" s="7">
        <v>1100</v>
      </c>
      <c r="C11" s="25">
        <v>271</v>
      </c>
      <c r="D11" s="7">
        <v>166</v>
      </c>
      <c r="E11" s="25">
        <v>313</v>
      </c>
      <c r="F11" s="7">
        <v>179</v>
      </c>
      <c r="G11" s="25">
        <v>121</v>
      </c>
      <c r="H11" s="7">
        <v>212</v>
      </c>
      <c r="I11" s="25">
        <v>139</v>
      </c>
      <c r="K11" s="26"/>
      <c r="L11" s="7">
        <v>38</v>
      </c>
      <c r="M11" s="25">
        <v>294</v>
      </c>
    </row>
    <row r="12" spans="1:13" ht="11.25" customHeight="1" x14ac:dyDescent="0.2">
      <c r="A12" s="36" t="s">
        <v>98</v>
      </c>
      <c r="B12" s="7">
        <v>1061</v>
      </c>
      <c r="C12" s="25">
        <v>121</v>
      </c>
      <c r="D12" s="7">
        <v>76</v>
      </c>
      <c r="E12" s="25">
        <v>33</v>
      </c>
      <c r="F12" s="7">
        <v>134</v>
      </c>
      <c r="G12" s="25">
        <v>34</v>
      </c>
      <c r="H12" s="7">
        <v>151</v>
      </c>
      <c r="I12" s="25">
        <v>38</v>
      </c>
      <c r="J12" s="7">
        <v>294</v>
      </c>
      <c r="K12" s="25">
        <v>38</v>
      </c>
      <c r="L12" s="7"/>
      <c r="M12" s="25"/>
    </row>
    <row r="13" spans="1:13" ht="11.25" customHeight="1" x14ac:dyDescent="0.2">
      <c r="A13" s="36" t="s">
        <v>99</v>
      </c>
      <c r="B13" s="7">
        <v>3195</v>
      </c>
      <c r="C13" s="25">
        <v>514</v>
      </c>
      <c r="D13" s="7">
        <v>702</v>
      </c>
      <c r="E13" s="25">
        <v>323</v>
      </c>
      <c r="F13" s="7">
        <v>353</v>
      </c>
      <c r="G13" s="25">
        <v>736</v>
      </c>
      <c r="H13" s="7">
        <v>340</v>
      </c>
      <c r="I13" s="25">
        <v>640</v>
      </c>
      <c r="J13" s="7">
        <v>333</v>
      </c>
      <c r="K13" s="25">
        <v>286</v>
      </c>
      <c r="L13" s="7">
        <v>81</v>
      </c>
      <c r="M13" s="25">
        <v>223</v>
      </c>
    </row>
    <row r="14" spans="1:13" ht="11.25" customHeight="1" x14ac:dyDescent="0.2">
      <c r="A14" s="36" t="s">
        <v>100</v>
      </c>
      <c r="B14" s="7">
        <v>3091</v>
      </c>
      <c r="C14" s="25">
        <v>677</v>
      </c>
      <c r="D14" s="7">
        <v>1404</v>
      </c>
      <c r="E14" s="25">
        <v>417</v>
      </c>
      <c r="F14" s="7">
        <v>404</v>
      </c>
      <c r="G14" s="25">
        <v>372</v>
      </c>
      <c r="H14" s="7">
        <v>447</v>
      </c>
      <c r="I14" s="25">
        <v>410</v>
      </c>
      <c r="J14" s="7">
        <v>611</v>
      </c>
      <c r="K14" s="25">
        <v>214</v>
      </c>
      <c r="L14" s="7">
        <v>155</v>
      </c>
      <c r="M14" s="25">
        <v>258</v>
      </c>
    </row>
    <row r="15" spans="1:13" ht="11.25" customHeight="1" x14ac:dyDescent="0.2">
      <c r="A15" s="36" t="s">
        <v>101</v>
      </c>
      <c r="B15" s="7">
        <v>729</v>
      </c>
      <c r="C15" s="25">
        <v>289</v>
      </c>
      <c r="D15" s="7">
        <v>91</v>
      </c>
      <c r="E15" s="25">
        <v>348</v>
      </c>
      <c r="F15" s="7">
        <v>79</v>
      </c>
      <c r="G15" s="25">
        <v>132</v>
      </c>
      <c r="H15" s="7">
        <v>112</v>
      </c>
      <c r="I15" s="25">
        <v>132</v>
      </c>
      <c r="J15" s="7">
        <v>118</v>
      </c>
      <c r="K15" s="25">
        <v>76</v>
      </c>
      <c r="L15" s="7">
        <v>9</v>
      </c>
      <c r="M15" s="25">
        <v>34</v>
      </c>
    </row>
    <row r="16" spans="1:13" ht="11.25" customHeight="1" x14ac:dyDescent="0.2">
      <c r="B16" s="4" t="s">
        <v>114</v>
      </c>
      <c r="C16" s="13" t="s">
        <v>114</v>
      </c>
      <c r="D16" s="4" t="s">
        <v>114</v>
      </c>
      <c r="E16" s="13" t="s">
        <v>114</v>
      </c>
      <c r="F16" s="4" t="s">
        <v>114</v>
      </c>
      <c r="G16" s="13" t="s">
        <v>114</v>
      </c>
      <c r="H16" s="4" t="s">
        <v>114</v>
      </c>
      <c r="I16" s="13" t="s">
        <v>114</v>
      </c>
      <c r="J16" s="4" t="s">
        <v>114</v>
      </c>
      <c r="K16" s="13" t="s">
        <v>114</v>
      </c>
      <c r="L16" s="4" t="s">
        <v>114</v>
      </c>
      <c r="M16" s="13" t="s">
        <v>114</v>
      </c>
    </row>
    <row r="17" spans="1:13" ht="11.25" customHeight="1" x14ac:dyDescent="0.2">
      <c r="B17" s="36">
        <f>SUM(B7:B15)</f>
        <v>13606</v>
      </c>
      <c r="C17" s="24">
        <f t="shared" ref="C17:M17" si="0">SUM(C7:C15)</f>
        <v>3194</v>
      </c>
      <c r="D17" s="36">
        <f t="shared" si="0"/>
        <v>3659</v>
      </c>
      <c r="E17" s="24">
        <f t="shared" si="0"/>
        <v>3472</v>
      </c>
      <c r="F17" s="36">
        <f t="shared" si="0"/>
        <v>2176</v>
      </c>
      <c r="G17" s="24">
        <f t="shared" si="0"/>
        <v>3184</v>
      </c>
      <c r="H17" s="36">
        <f t="shared" si="0"/>
        <v>1978</v>
      </c>
      <c r="I17" s="24">
        <f t="shared" si="0"/>
        <v>3603</v>
      </c>
      <c r="J17" s="36">
        <f t="shared" si="0"/>
        <v>2200</v>
      </c>
      <c r="K17" s="24">
        <f t="shared" si="0"/>
        <v>2271</v>
      </c>
      <c r="L17" s="36">
        <f t="shared" si="0"/>
        <v>509</v>
      </c>
      <c r="M17" s="24">
        <f t="shared" si="0"/>
        <v>2231</v>
      </c>
    </row>
    <row r="19" spans="1:13" ht="11.25" customHeight="1" x14ac:dyDescent="0.2">
      <c r="B19" s="36"/>
      <c r="C19" s="24"/>
      <c r="D19" s="27"/>
      <c r="E19" s="24"/>
      <c r="F19"/>
      <c r="G19" s="30"/>
      <c r="H19" s="36"/>
      <c r="I19" s="24"/>
    </row>
    <row r="20" spans="1:13" ht="11.25" customHeight="1" x14ac:dyDescent="0.2">
      <c r="B20" s="50" t="s">
        <v>115</v>
      </c>
      <c r="C20" s="47"/>
      <c r="D20" s="37" t="s">
        <v>116</v>
      </c>
      <c r="E20" s="38"/>
      <c r="F20" s="37" t="s">
        <v>117</v>
      </c>
      <c r="G20" s="38"/>
      <c r="H20" s="48" t="s">
        <v>118</v>
      </c>
      <c r="I20" s="47"/>
      <c r="L20"/>
      <c r="M20"/>
    </row>
    <row r="21" spans="1:13" ht="11.25" customHeight="1" x14ac:dyDescent="0.2">
      <c r="B21" s="36" t="s">
        <v>112</v>
      </c>
      <c r="C21" s="23" t="s">
        <v>113</v>
      </c>
      <c r="D21" s="36" t="s">
        <v>112</v>
      </c>
      <c r="E21" s="23" t="s">
        <v>113</v>
      </c>
      <c r="F21" s="36" t="s">
        <v>112</v>
      </c>
      <c r="G21" s="23" t="s">
        <v>113</v>
      </c>
      <c r="H21" s="36" t="s">
        <v>112</v>
      </c>
      <c r="I21" s="23" t="s">
        <v>113</v>
      </c>
      <c r="L21"/>
      <c r="M21"/>
    </row>
    <row r="22" spans="1:13" ht="11.25" customHeight="1" x14ac:dyDescent="0.2">
      <c r="B22" s="36"/>
      <c r="C22" s="24"/>
      <c r="D22" s="36"/>
      <c r="E22" s="24"/>
      <c r="F22" s="36"/>
      <c r="G22" s="24"/>
      <c r="H22" s="36"/>
      <c r="I22" s="24"/>
      <c r="L22"/>
      <c r="M22"/>
    </row>
    <row r="23" spans="1:13" ht="11.25" customHeight="1" x14ac:dyDescent="0.2">
      <c r="A23" s="36" t="s">
        <v>93</v>
      </c>
      <c r="B23" s="7">
        <v>514</v>
      </c>
      <c r="C23" s="25">
        <v>3195</v>
      </c>
      <c r="D23" s="7">
        <v>677</v>
      </c>
      <c r="E23" s="25">
        <v>3091</v>
      </c>
      <c r="F23" s="7">
        <v>289</v>
      </c>
      <c r="G23" s="25">
        <v>729</v>
      </c>
      <c r="H23" s="36">
        <f t="shared" ref="H23:H31" si="1">SUM(B7,D7,F7,H7,J7,L7,B23,D23,F23)</f>
        <v>3194</v>
      </c>
      <c r="I23" s="25">
        <f t="shared" ref="I23:I31" si="2">SUM(C7,E7,G7,I7,K7,M7,C23,E23,G23)</f>
        <v>13606</v>
      </c>
      <c r="L23"/>
      <c r="M23"/>
    </row>
    <row r="24" spans="1:13" ht="11.25" customHeight="1" x14ac:dyDescent="0.2">
      <c r="A24" s="36" t="s">
        <v>94</v>
      </c>
      <c r="B24" s="7">
        <v>323</v>
      </c>
      <c r="C24" s="25">
        <v>702</v>
      </c>
      <c r="D24" s="7">
        <v>417</v>
      </c>
      <c r="E24" s="25">
        <v>1404</v>
      </c>
      <c r="F24" s="7">
        <v>348</v>
      </c>
      <c r="G24" s="25">
        <v>91</v>
      </c>
      <c r="H24" s="36">
        <f t="shared" si="1"/>
        <v>3472</v>
      </c>
      <c r="I24" s="25">
        <f t="shared" si="2"/>
        <v>3659</v>
      </c>
      <c r="L24"/>
      <c r="M24"/>
    </row>
    <row r="25" spans="1:13" ht="11.25" customHeight="1" x14ac:dyDescent="0.2">
      <c r="A25" s="36" t="s">
        <v>95</v>
      </c>
      <c r="B25" s="7">
        <v>736</v>
      </c>
      <c r="C25" s="25">
        <v>353</v>
      </c>
      <c r="D25" s="7">
        <v>372</v>
      </c>
      <c r="E25" s="25">
        <v>404</v>
      </c>
      <c r="F25" s="7">
        <v>132</v>
      </c>
      <c r="G25" s="25">
        <v>79</v>
      </c>
      <c r="H25" s="36">
        <f t="shared" si="1"/>
        <v>3184</v>
      </c>
      <c r="I25" s="25">
        <f t="shared" si="2"/>
        <v>2176</v>
      </c>
      <c r="L25"/>
      <c r="M25"/>
    </row>
    <row r="26" spans="1:13" ht="11.25" customHeight="1" x14ac:dyDescent="0.2">
      <c r="A26" s="36" t="s">
        <v>96</v>
      </c>
      <c r="B26" s="7">
        <v>640</v>
      </c>
      <c r="C26" s="25">
        <v>340</v>
      </c>
      <c r="D26" s="7">
        <v>410</v>
      </c>
      <c r="E26" s="25">
        <v>447</v>
      </c>
      <c r="F26" s="7">
        <v>132</v>
      </c>
      <c r="G26" s="25">
        <v>112</v>
      </c>
      <c r="H26" s="36">
        <f t="shared" si="1"/>
        <v>3603</v>
      </c>
      <c r="I26" s="25">
        <f t="shared" si="2"/>
        <v>1978</v>
      </c>
      <c r="L26"/>
      <c r="M26"/>
    </row>
    <row r="27" spans="1:13" ht="11.25" customHeight="1" x14ac:dyDescent="0.2">
      <c r="A27" s="36" t="s">
        <v>97</v>
      </c>
      <c r="B27" s="7">
        <v>286</v>
      </c>
      <c r="C27" s="25">
        <v>333</v>
      </c>
      <c r="D27" s="7">
        <v>214</v>
      </c>
      <c r="E27" s="25">
        <v>611</v>
      </c>
      <c r="F27" s="7">
        <v>76</v>
      </c>
      <c r="G27" s="25">
        <v>118</v>
      </c>
      <c r="H27" s="36">
        <f t="shared" si="1"/>
        <v>2271</v>
      </c>
      <c r="I27" s="25">
        <f t="shared" si="2"/>
        <v>2200</v>
      </c>
      <c r="L27"/>
      <c r="M27"/>
    </row>
    <row r="28" spans="1:13" ht="11.25" customHeight="1" x14ac:dyDescent="0.2">
      <c r="A28" s="36" t="s">
        <v>98</v>
      </c>
      <c r="B28" s="7">
        <v>223</v>
      </c>
      <c r="C28" s="25">
        <v>81</v>
      </c>
      <c r="D28" s="7">
        <v>258</v>
      </c>
      <c r="E28" s="25">
        <v>155</v>
      </c>
      <c r="F28" s="7">
        <v>34</v>
      </c>
      <c r="G28" s="25">
        <v>9</v>
      </c>
      <c r="H28" s="36">
        <f t="shared" si="1"/>
        <v>2231</v>
      </c>
      <c r="I28" s="25">
        <f t="shared" si="2"/>
        <v>509</v>
      </c>
      <c r="L28"/>
      <c r="M28"/>
    </row>
    <row r="29" spans="1:13" ht="11.25" customHeight="1" x14ac:dyDescent="0.2">
      <c r="A29" s="36" t="s">
        <v>99</v>
      </c>
      <c r="B29" s="7"/>
      <c r="C29" s="25"/>
      <c r="D29" s="7">
        <v>759</v>
      </c>
      <c r="E29" s="25">
        <v>694</v>
      </c>
      <c r="F29" s="7">
        <v>386</v>
      </c>
      <c r="G29" s="25">
        <v>134</v>
      </c>
      <c r="H29" s="36">
        <f t="shared" si="1"/>
        <v>6149</v>
      </c>
      <c r="I29" s="25">
        <f t="shared" si="2"/>
        <v>3550</v>
      </c>
      <c r="L29"/>
      <c r="M29"/>
    </row>
    <row r="30" spans="1:13" ht="11.25" customHeight="1" x14ac:dyDescent="0.2">
      <c r="A30" s="36" t="s">
        <v>100</v>
      </c>
      <c r="B30" s="7">
        <v>694</v>
      </c>
      <c r="C30" s="25">
        <v>759</v>
      </c>
      <c r="D30" s="7"/>
      <c r="E30" s="25"/>
      <c r="F30" s="7">
        <v>639</v>
      </c>
      <c r="G30" s="25">
        <v>135</v>
      </c>
      <c r="H30" s="36">
        <f t="shared" si="1"/>
        <v>7445</v>
      </c>
      <c r="I30" s="25">
        <f t="shared" si="2"/>
        <v>3242</v>
      </c>
      <c r="L30"/>
      <c r="M30"/>
    </row>
    <row r="31" spans="1:13" ht="11.25" customHeight="1" x14ac:dyDescent="0.2">
      <c r="A31" s="36" t="s">
        <v>101</v>
      </c>
      <c r="B31" s="7">
        <v>134</v>
      </c>
      <c r="C31" s="25">
        <v>386</v>
      </c>
      <c r="D31" s="7">
        <v>135</v>
      </c>
      <c r="E31" s="25">
        <v>639</v>
      </c>
      <c r="G31" s="26"/>
      <c r="H31" s="36">
        <f t="shared" si="1"/>
        <v>1407</v>
      </c>
      <c r="I31" s="25">
        <f t="shared" si="2"/>
        <v>2036</v>
      </c>
      <c r="L31"/>
      <c r="M31"/>
    </row>
    <row r="32" spans="1:13" ht="11.25" customHeight="1" x14ac:dyDescent="0.2">
      <c r="B32" s="4" t="s">
        <v>114</v>
      </c>
      <c r="C32" s="13" t="s">
        <v>114</v>
      </c>
      <c r="D32" s="4" t="s">
        <v>114</v>
      </c>
      <c r="E32" s="13" t="s">
        <v>114</v>
      </c>
      <c r="F32" s="4" t="s">
        <v>114</v>
      </c>
      <c r="G32" s="13" t="s">
        <v>114</v>
      </c>
      <c r="H32" s="4" t="s">
        <v>114</v>
      </c>
      <c r="I32" s="13" t="s">
        <v>114</v>
      </c>
      <c r="J32"/>
      <c r="K32"/>
      <c r="L32"/>
      <c r="M32"/>
    </row>
    <row r="33" spans="1:13" ht="11.25" customHeight="1" x14ac:dyDescent="0.2">
      <c r="B33" s="36">
        <f>SUM(B23:B31)</f>
        <v>3550</v>
      </c>
      <c r="C33" s="24">
        <f t="shared" ref="C33:I33" si="3">SUM(C23:C31)</f>
        <v>6149</v>
      </c>
      <c r="D33" s="36">
        <f t="shared" si="3"/>
        <v>3242</v>
      </c>
      <c r="E33" s="24">
        <f t="shared" si="3"/>
        <v>7445</v>
      </c>
      <c r="F33" s="36">
        <f t="shared" si="3"/>
        <v>2036</v>
      </c>
      <c r="G33" s="24">
        <f t="shared" si="3"/>
        <v>1407</v>
      </c>
      <c r="H33" s="36">
        <f t="shared" si="3"/>
        <v>32956</v>
      </c>
      <c r="I33" s="24">
        <f t="shared" si="3"/>
        <v>32956</v>
      </c>
      <c r="J33"/>
      <c r="K33"/>
      <c r="L33"/>
      <c r="M33"/>
    </row>
    <row r="34" spans="1:13" ht="11.25" customHeight="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L34"/>
      <c r="M34"/>
    </row>
    <row r="35" spans="1:13" ht="11.25" customHeight="1" x14ac:dyDescent="0.2">
      <c r="B35" s="36"/>
      <c r="C35" s="36"/>
      <c r="D35" s="36"/>
      <c r="E35" s="36"/>
      <c r="F35" s="36"/>
      <c r="G35" s="36"/>
      <c r="H35" s="36"/>
      <c r="I35" s="36"/>
      <c r="J35" s="36"/>
      <c r="K35" s="36"/>
      <c r="L35"/>
      <c r="M35"/>
    </row>
    <row r="36" spans="1:13" ht="11.25" customHeight="1" x14ac:dyDescent="0.2">
      <c r="A36" s="36" t="s">
        <v>119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</row>
    <row r="37" spans="1:13" ht="11.25" customHeight="1" x14ac:dyDescent="0.2">
      <c r="B37" s="36" t="s">
        <v>84</v>
      </c>
      <c r="C37" s="38"/>
      <c r="D37" s="36" t="s">
        <v>85</v>
      </c>
      <c r="E37" s="38"/>
      <c r="F37" s="36" t="s">
        <v>120</v>
      </c>
      <c r="G37" s="24"/>
      <c r="H37" s="36"/>
      <c r="I37" s="36"/>
      <c r="J37" s="36"/>
      <c r="K37" s="36"/>
      <c r="L37"/>
      <c r="M37"/>
    </row>
    <row r="38" spans="1:13" ht="11.25" customHeight="1" x14ac:dyDescent="0.2">
      <c r="A38"/>
      <c r="B38" s="29" t="s">
        <v>112</v>
      </c>
      <c r="C38" s="23" t="s">
        <v>113</v>
      </c>
      <c r="D38" s="29" t="s">
        <v>112</v>
      </c>
      <c r="E38" s="23" t="s">
        <v>113</v>
      </c>
      <c r="F38" s="29" t="s">
        <v>112</v>
      </c>
      <c r="G38" s="23" t="s">
        <v>113</v>
      </c>
      <c r="H38" s="36"/>
      <c r="I38" s="36"/>
      <c r="J38" s="36"/>
      <c r="K38" s="36"/>
      <c r="L38"/>
      <c r="M38"/>
    </row>
    <row r="39" spans="1:13" ht="11.25" customHeight="1" x14ac:dyDescent="0.2">
      <c r="A39" s="11" t="s">
        <v>84</v>
      </c>
      <c r="B39" s="36"/>
      <c r="C39" s="24"/>
      <c r="D39" s="7">
        <v>39</v>
      </c>
      <c r="E39" s="25">
        <v>115</v>
      </c>
      <c r="F39" s="36">
        <f>SUM(B39,D39)</f>
        <v>39</v>
      </c>
      <c r="G39" s="24">
        <f>SUM(C39,E39)</f>
        <v>115</v>
      </c>
      <c r="H39" s="36"/>
      <c r="I39" s="36"/>
      <c r="J39" s="36"/>
      <c r="K39" s="36"/>
      <c r="L39"/>
      <c r="M39"/>
    </row>
    <row r="40" spans="1:13" ht="11.25" customHeight="1" x14ac:dyDescent="0.2">
      <c r="A40" s="11" t="s">
        <v>85</v>
      </c>
      <c r="B40" s="7">
        <v>115</v>
      </c>
      <c r="C40" s="25">
        <v>39</v>
      </c>
      <c r="D40" s="36"/>
      <c r="E40" s="30"/>
      <c r="F40" s="36">
        <f>SUM(B40,D40)</f>
        <v>115</v>
      </c>
      <c r="G40" s="25">
        <f>SUM(C40,E40)</f>
        <v>39</v>
      </c>
      <c r="H40" s="36"/>
      <c r="I40" s="36"/>
      <c r="J40" s="36"/>
      <c r="K40" s="36"/>
      <c r="L40"/>
      <c r="M40"/>
    </row>
    <row r="41" spans="1:13" ht="11.25" customHeight="1" x14ac:dyDescent="0.2">
      <c r="B41" s="4" t="s">
        <v>114</v>
      </c>
      <c r="C41" s="13" t="s">
        <v>114</v>
      </c>
      <c r="D41" s="4" t="s">
        <v>114</v>
      </c>
      <c r="E41" s="13" t="s">
        <v>114</v>
      </c>
      <c r="F41" s="4" t="s">
        <v>114</v>
      </c>
      <c r="G41" s="13" t="s">
        <v>114</v>
      </c>
      <c r="H41" s="36"/>
      <c r="I41" s="36"/>
      <c r="J41" s="36"/>
      <c r="K41" s="36"/>
      <c r="L41"/>
      <c r="M41"/>
    </row>
    <row r="42" spans="1:13" ht="11.25" customHeight="1" x14ac:dyDescent="0.2">
      <c r="B42" s="36">
        <f>SUM(B39:B40)</f>
        <v>115</v>
      </c>
      <c r="C42" s="24">
        <f t="shared" ref="C42:E42" si="4">SUM(C39:C40)</f>
        <v>39</v>
      </c>
      <c r="D42" s="36">
        <f t="shared" si="4"/>
        <v>39</v>
      </c>
      <c r="E42" s="24">
        <f t="shared" si="4"/>
        <v>115</v>
      </c>
      <c r="F42" s="36">
        <f>SUM(F39:F40)</f>
        <v>154</v>
      </c>
      <c r="G42" s="24">
        <f>SUM(G39:G40)</f>
        <v>154</v>
      </c>
      <c r="H42" s="36"/>
      <c r="I42" s="36"/>
      <c r="J42" s="36"/>
      <c r="K42" s="36"/>
      <c r="L42"/>
      <c r="M42"/>
    </row>
    <row r="43" spans="1:13" x14ac:dyDescent="0.2">
      <c r="A43" s="36"/>
    </row>
    <row r="45" spans="1:13" ht="11.25" customHeight="1" x14ac:dyDescent="0.2">
      <c r="A45" s="36" t="s">
        <v>121</v>
      </c>
    </row>
    <row r="46" spans="1:13" ht="11.25" customHeight="1" x14ac:dyDescent="0.2">
      <c r="B46" s="37" t="s">
        <v>87</v>
      </c>
      <c r="C46" s="28"/>
      <c r="D46" s="37" t="s">
        <v>88</v>
      </c>
      <c r="E46" s="28"/>
      <c r="F46" s="37" t="s">
        <v>89</v>
      </c>
      <c r="G46" s="28"/>
      <c r="H46" s="37" t="s">
        <v>90</v>
      </c>
      <c r="I46" s="28"/>
      <c r="J46" s="37" t="s">
        <v>122</v>
      </c>
      <c r="K46" s="28"/>
    </row>
    <row r="47" spans="1:13" ht="11.25" customHeight="1" x14ac:dyDescent="0.2">
      <c r="B47" s="36" t="s">
        <v>112</v>
      </c>
      <c r="C47" s="24" t="s">
        <v>113</v>
      </c>
      <c r="D47" s="36" t="s">
        <v>112</v>
      </c>
      <c r="E47" s="24" t="s">
        <v>113</v>
      </c>
      <c r="F47" s="36" t="s">
        <v>112</v>
      </c>
      <c r="G47" s="24" t="s">
        <v>113</v>
      </c>
      <c r="H47" s="36" t="s">
        <v>112</v>
      </c>
      <c r="I47" s="24" t="s">
        <v>113</v>
      </c>
      <c r="J47" s="36" t="s">
        <v>112</v>
      </c>
      <c r="K47" s="24" t="s">
        <v>113</v>
      </c>
    </row>
    <row r="48" spans="1:13" ht="11.25" customHeight="1" x14ac:dyDescent="0.2">
      <c r="A48" s="36" t="s">
        <v>87</v>
      </c>
      <c r="C48" s="26"/>
      <c r="D48" s="7">
        <v>66</v>
      </c>
      <c r="E48" s="25">
        <v>38</v>
      </c>
      <c r="F48" s="7">
        <v>231</v>
      </c>
      <c r="G48" s="25">
        <v>312</v>
      </c>
      <c r="H48" s="7">
        <v>91</v>
      </c>
      <c r="I48" s="25">
        <v>105</v>
      </c>
      <c r="J48" s="36">
        <f t="shared" ref="J48:K51" si="5">SUM(B48,D48,F48,H48)</f>
        <v>388</v>
      </c>
      <c r="K48" s="24">
        <f t="shared" si="5"/>
        <v>455</v>
      </c>
    </row>
    <row r="49" spans="1:11" ht="11.25" customHeight="1" x14ac:dyDescent="0.2">
      <c r="A49" s="36" t="s">
        <v>88</v>
      </c>
      <c r="B49" s="7">
        <v>38</v>
      </c>
      <c r="C49" s="25">
        <v>66</v>
      </c>
      <c r="D49" s="39"/>
      <c r="E49" s="26"/>
      <c r="F49" s="7">
        <v>16</v>
      </c>
      <c r="G49" s="25">
        <v>23</v>
      </c>
      <c r="H49" s="7">
        <v>14</v>
      </c>
      <c r="I49" s="25">
        <v>1</v>
      </c>
      <c r="J49" s="36">
        <f t="shared" si="5"/>
        <v>68</v>
      </c>
      <c r="K49" s="24">
        <f t="shared" si="5"/>
        <v>90</v>
      </c>
    </row>
    <row r="50" spans="1:11" ht="11.25" customHeight="1" x14ac:dyDescent="0.2">
      <c r="A50" s="36" t="s">
        <v>89</v>
      </c>
      <c r="B50" s="7">
        <v>312</v>
      </c>
      <c r="C50" s="25">
        <v>231</v>
      </c>
      <c r="D50" s="7">
        <v>23</v>
      </c>
      <c r="E50" s="25">
        <v>16</v>
      </c>
      <c r="G50" s="26"/>
      <c r="H50" s="7">
        <v>53</v>
      </c>
      <c r="I50" s="25">
        <v>50</v>
      </c>
      <c r="J50" s="36">
        <f>SUM(B50,D50,F50,H50)</f>
        <v>388</v>
      </c>
      <c r="K50" s="24">
        <f t="shared" si="5"/>
        <v>297</v>
      </c>
    </row>
    <row r="51" spans="1:11" ht="11.25" customHeight="1" x14ac:dyDescent="0.2">
      <c r="A51" s="36" t="s">
        <v>90</v>
      </c>
      <c r="B51" s="7">
        <v>105</v>
      </c>
      <c r="C51" s="25">
        <v>91</v>
      </c>
      <c r="D51" s="7">
        <v>1</v>
      </c>
      <c r="E51" s="25">
        <v>14</v>
      </c>
      <c r="F51" s="7">
        <v>50</v>
      </c>
      <c r="G51" s="25">
        <v>53</v>
      </c>
      <c r="I51" s="26"/>
      <c r="J51" s="36">
        <f t="shared" si="5"/>
        <v>156</v>
      </c>
      <c r="K51" s="24">
        <f t="shared" si="5"/>
        <v>158</v>
      </c>
    </row>
    <row r="52" spans="1:11" ht="11.25" customHeight="1" x14ac:dyDescent="0.2">
      <c r="B52" s="4" t="s">
        <v>114</v>
      </c>
      <c r="C52" s="13" t="s">
        <v>114</v>
      </c>
      <c r="D52" s="4" t="s">
        <v>114</v>
      </c>
      <c r="E52" s="13" t="s">
        <v>114</v>
      </c>
      <c r="F52" s="4" t="s">
        <v>114</v>
      </c>
      <c r="G52" s="13" t="s">
        <v>114</v>
      </c>
      <c r="H52" s="4" t="s">
        <v>114</v>
      </c>
      <c r="I52" s="13" t="s">
        <v>114</v>
      </c>
      <c r="J52" s="4" t="s">
        <v>114</v>
      </c>
      <c r="K52" s="13" t="s">
        <v>114</v>
      </c>
    </row>
    <row r="53" spans="1:11" ht="11.25" customHeight="1" x14ac:dyDescent="0.2">
      <c r="B53" s="36">
        <f t="shared" ref="B53:K53" si="6">SUM(B48:B51)</f>
        <v>455</v>
      </c>
      <c r="C53" s="24">
        <f t="shared" si="6"/>
        <v>388</v>
      </c>
      <c r="D53" s="36">
        <f t="shared" si="6"/>
        <v>90</v>
      </c>
      <c r="E53" s="24">
        <f t="shared" si="6"/>
        <v>68</v>
      </c>
      <c r="F53" s="36">
        <f t="shared" si="6"/>
        <v>297</v>
      </c>
      <c r="G53" s="24">
        <f t="shared" si="6"/>
        <v>388</v>
      </c>
      <c r="H53" s="36">
        <f t="shared" si="6"/>
        <v>158</v>
      </c>
      <c r="I53" s="24">
        <f t="shared" si="6"/>
        <v>156</v>
      </c>
      <c r="J53" s="36">
        <f t="shared" si="6"/>
        <v>1000</v>
      </c>
      <c r="K53" s="24">
        <f t="shared" si="6"/>
        <v>1000</v>
      </c>
    </row>
  </sheetData>
  <mergeCells count="6">
    <mergeCell ref="H20:I20"/>
    <mergeCell ref="F1:G1"/>
    <mergeCell ref="B4:C4"/>
    <mergeCell ref="D4:E4"/>
    <mergeCell ref="L4:M4"/>
    <mergeCell ref="B20:C20"/>
  </mergeCells>
  <pageMargins left="0.75" right="0.75" top="1" bottom="1" header="0.5" footer="0.5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LINK Summary</vt:lpstr>
      <vt:lpstr>Iteragency Details</vt:lpstr>
      <vt:lpstr>allholds</vt:lpstr>
      <vt:lpstr>allscids</vt:lpstr>
      <vt:lpstr>almintb</vt:lpstr>
      <vt:lpstr>almintl</vt:lpstr>
      <vt:lpstr>dclintb</vt:lpstr>
      <vt:lpstr>dclintl</vt:lpstr>
      <vt:lpstr>dclsscid</vt:lpstr>
      <vt:lpstr>hawintb</vt:lpstr>
      <vt:lpstr>hawintl</vt:lpstr>
      <vt:lpstr>hpbintb</vt:lpstr>
      <vt:lpstr>hpbintl</vt:lpstr>
      <vt:lpstr>lakintb</vt:lpstr>
      <vt:lpstr>lakintl</vt:lpstr>
      <vt:lpstr>madintb</vt:lpstr>
      <vt:lpstr>madintl</vt:lpstr>
      <vt:lpstr>meaintb</vt:lpstr>
      <vt:lpstr>meaintl</vt:lpstr>
      <vt:lpstr>mplscid</vt:lpstr>
      <vt:lpstr>mrsintb</vt:lpstr>
      <vt:lpstr>mrsintl</vt:lpstr>
      <vt:lpstr>msbintb</vt:lpstr>
      <vt:lpstr>msbintl</vt:lpstr>
      <vt:lpstr>nonmplpocoscid</vt:lpstr>
      <vt:lpstr>nonmplscid</vt:lpstr>
      <vt:lpstr>pinintb</vt:lpstr>
      <vt:lpstr>pinintl</vt:lpstr>
      <vt:lpstr>plointb</vt:lpstr>
      <vt:lpstr>plointl</vt:lpstr>
      <vt:lpstr>pocoscid</vt:lpstr>
      <vt:lpstr>rosintb</vt:lpstr>
      <vt:lpstr>rosintl</vt:lpstr>
      <vt:lpstr>seqintb</vt:lpstr>
      <vt:lpstr>seqintl</vt:lpstr>
      <vt:lpstr>smbintb</vt:lpstr>
      <vt:lpstr>smbintl</vt:lpstr>
      <vt:lpstr>stpintb</vt:lpstr>
      <vt:lpstr>stpintl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jriendeau</dc:creator>
  <cp:keywords/>
  <dc:description/>
  <cp:lastModifiedBy>Karls, Michelle</cp:lastModifiedBy>
  <cp:revision>0</cp:revision>
  <cp:lastPrinted>2014-07-02T18:53:51Z</cp:lastPrinted>
  <dcterms:created xsi:type="dcterms:W3CDTF">2003-02-04T00:02:37Z</dcterms:created>
  <dcterms:modified xsi:type="dcterms:W3CDTF">2023-01-06T19:53:37Z</dcterms:modified>
  <cp:category/>
  <dc:identifier/>
  <cp:contentStatus/>
  <dc:language/>
  <cp:version/>
</cp:coreProperties>
</file>