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dministration\Budgets\2022 Budget\"/>
    </mc:Choice>
  </mc:AlternateContent>
  <bookViews>
    <workbookView xWindow="0" yWindow="135" windowWidth="20490" windowHeight="7485"/>
  </bookViews>
  <sheets>
    <sheet name="Sheet1" sheetId="1" r:id="rId1"/>
    <sheet name="Sheet2" sheetId="2" r:id="rId2"/>
    <sheet name="Sheet3" sheetId="3" r:id="rId3"/>
  </sheets>
  <definedNames>
    <definedName name="_xlnm.Print_Titles" localSheetId="0">Sheet1!$1:$1</definedName>
  </definedNames>
  <calcPr calcId="162913"/>
</workbook>
</file>

<file path=xl/calcChain.xml><?xml version="1.0" encoding="utf-8"?>
<calcChain xmlns="http://schemas.openxmlformats.org/spreadsheetml/2006/main">
  <c r="L165" i="1" l="1"/>
  <c r="L146" i="1" l="1"/>
  <c r="L190" i="1" l="1"/>
  <c r="L102" i="1"/>
  <c r="J52" i="1"/>
  <c r="L52" i="1"/>
  <c r="L194" i="1" l="1"/>
  <c r="L195" i="1"/>
  <c r="L80" i="1"/>
  <c r="L115" i="1"/>
  <c r="L125" i="1"/>
  <c r="L101" i="1"/>
  <c r="L90" i="1"/>
  <c r="L169" i="1"/>
  <c r="L233" i="1" l="1"/>
  <c r="L189" i="1"/>
  <c r="L181" i="1"/>
  <c r="L177" i="1"/>
  <c r="L155" i="1"/>
  <c r="L141" i="1"/>
  <c r="L131" i="1"/>
  <c r="L121" i="1"/>
  <c r="L91" i="1"/>
  <c r="L68" i="1"/>
  <c r="L62" i="1"/>
  <c r="L18" i="1" l="1"/>
  <c r="L51" i="1" s="1"/>
  <c r="M96" i="1"/>
  <c r="L236" i="1" l="1"/>
  <c r="L111" i="1"/>
  <c r="K152" i="1"/>
  <c r="J151" i="1"/>
  <c r="M152" i="1"/>
  <c r="M228" i="1"/>
  <c r="K228" i="1"/>
  <c r="M46" i="1"/>
  <c r="K46" i="1"/>
  <c r="M49" i="1"/>
  <c r="K49" i="1"/>
  <c r="M229" i="1"/>
  <c r="M230" i="1"/>
  <c r="M231" i="1"/>
  <c r="K231" i="1"/>
  <c r="K229" i="1"/>
  <c r="K230" i="1"/>
  <c r="K227" i="1"/>
  <c r="M222" i="1"/>
  <c r="K222" i="1"/>
  <c r="M47" i="1"/>
  <c r="M48" i="1"/>
  <c r="M39" i="1"/>
  <c r="K39" i="1"/>
  <c r="K47" i="1"/>
  <c r="K48" i="1"/>
  <c r="J155" i="1" l="1"/>
  <c r="J91" i="1"/>
  <c r="L53" i="1"/>
  <c r="J233" i="1"/>
  <c r="J102" i="1"/>
  <c r="J236" i="1" s="1"/>
  <c r="J111" i="1" l="1"/>
  <c r="J189" i="1"/>
  <c r="L173" i="1" l="1"/>
  <c r="L170" i="1" s="1"/>
  <c r="L60" i="1" l="1"/>
  <c r="L76" i="1" s="1"/>
  <c r="L199" i="1" l="1"/>
  <c r="L210" i="1" s="1"/>
  <c r="J199" i="1"/>
  <c r="J62" i="1" l="1"/>
  <c r="M4" i="1"/>
  <c r="K5" i="1"/>
  <c r="K6" i="1"/>
  <c r="K7" i="1"/>
  <c r="K8" i="1"/>
  <c r="K9" i="1"/>
  <c r="K11" i="1"/>
  <c r="K12" i="1"/>
  <c r="K13" i="1"/>
  <c r="K14" i="1"/>
  <c r="K15" i="1"/>
  <c r="K17" i="1"/>
  <c r="K18" i="1"/>
  <c r="K19" i="1"/>
  <c r="K21" i="1"/>
  <c r="K22" i="1"/>
  <c r="K23" i="1"/>
  <c r="K24" i="1"/>
  <c r="K25" i="1"/>
  <c r="K26" i="1"/>
  <c r="K27" i="1"/>
  <c r="K28" i="1"/>
  <c r="K29" i="1"/>
  <c r="K30" i="1"/>
  <c r="K31" i="1"/>
  <c r="K32" i="1"/>
  <c r="K34" i="1"/>
  <c r="K35" i="1"/>
  <c r="K36" i="1"/>
  <c r="K37" i="1"/>
  <c r="K38" i="1"/>
  <c r="K40" i="1"/>
  <c r="K41" i="1"/>
  <c r="K42" i="1"/>
  <c r="K43" i="1"/>
  <c r="K45" i="1"/>
  <c r="K60" i="1"/>
  <c r="K61" i="1"/>
  <c r="K63" i="1"/>
  <c r="K64" i="1"/>
  <c r="K65" i="1"/>
  <c r="K66" i="1"/>
  <c r="K67" i="1"/>
  <c r="K69" i="1"/>
  <c r="K70" i="1"/>
  <c r="K71" i="1"/>
  <c r="K72" i="1"/>
  <c r="K73" i="1"/>
  <c r="K74" i="1"/>
  <c r="K75" i="1"/>
  <c r="K80" i="1"/>
  <c r="K86" i="1"/>
  <c r="K87" i="1"/>
  <c r="K88" i="1"/>
  <c r="K89" i="1"/>
  <c r="K90" i="1"/>
  <c r="K92" i="1"/>
  <c r="K93" i="1"/>
  <c r="K94" i="1"/>
  <c r="K95" i="1"/>
  <c r="K97" i="1"/>
  <c r="K98" i="1"/>
  <c r="K99" i="1"/>
  <c r="K100" i="1"/>
  <c r="K101" i="1"/>
  <c r="K103" i="1"/>
  <c r="K104" i="1"/>
  <c r="K106" i="1"/>
  <c r="K107" i="1"/>
  <c r="K108" i="1"/>
  <c r="K109" i="1"/>
  <c r="K115" i="1"/>
  <c r="K116" i="1"/>
  <c r="K117" i="1"/>
  <c r="K118" i="1"/>
  <c r="K119" i="1"/>
  <c r="K125" i="1"/>
  <c r="K126" i="1"/>
  <c r="K127" i="1"/>
  <c r="K128" i="1"/>
  <c r="K129" i="1"/>
  <c r="K135" i="1"/>
  <c r="K136" i="1"/>
  <c r="K137" i="1"/>
  <c r="K138" i="1"/>
  <c r="K139" i="1"/>
  <c r="K145" i="1"/>
  <c r="K146" i="1"/>
  <c r="K147" i="1"/>
  <c r="K148" i="1"/>
  <c r="K149" i="1"/>
  <c r="K150" i="1"/>
  <c r="K151" i="1"/>
  <c r="K153" i="1"/>
  <c r="K154" i="1"/>
  <c r="K159" i="1"/>
  <c r="K160" i="1"/>
  <c r="K161" i="1"/>
  <c r="K162" i="1"/>
  <c r="K163" i="1"/>
  <c r="K169" i="1"/>
  <c r="K171" i="1"/>
  <c r="K173" i="1"/>
  <c r="K175" i="1"/>
  <c r="K176" i="1"/>
  <c r="K178" i="1"/>
  <c r="K179" i="1"/>
  <c r="K180" i="1"/>
  <c r="K182" i="1"/>
  <c r="K183" i="1"/>
  <c r="K184" i="1"/>
  <c r="K188" i="1"/>
  <c r="K190" i="1"/>
  <c r="K191" i="1"/>
  <c r="K192" i="1"/>
  <c r="K193" i="1"/>
  <c r="K194" i="1"/>
  <c r="K195" i="1"/>
  <c r="K196" i="1"/>
  <c r="K197" i="1"/>
  <c r="K198" i="1"/>
  <c r="K199" i="1"/>
  <c r="K200" i="1"/>
  <c r="K201" i="1"/>
  <c r="K202" i="1"/>
  <c r="K203" i="1"/>
  <c r="K204" i="1"/>
  <c r="K205" i="1"/>
  <c r="K206" i="1"/>
  <c r="K207" i="1"/>
  <c r="K208" i="1"/>
  <c r="K209" i="1"/>
  <c r="K211" i="1"/>
  <c r="K212" i="1"/>
  <c r="K213" i="1"/>
  <c r="K214" i="1"/>
  <c r="K215" i="1"/>
  <c r="K217" i="1"/>
  <c r="K218" i="1"/>
  <c r="K219" i="1"/>
  <c r="K220" i="1"/>
  <c r="K221" i="1"/>
  <c r="K223" i="1"/>
  <c r="K224" i="1"/>
  <c r="K225" i="1"/>
  <c r="K234" i="1"/>
  <c r="K238" i="1"/>
  <c r="K4" i="1"/>
  <c r="J181" i="1"/>
  <c r="J177" i="1"/>
  <c r="J170" i="1"/>
  <c r="J165" i="1"/>
  <c r="J141" i="1"/>
  <c r="J131" i="1"/>
  <c r="J121" i="1"/>
  <c r="J82" i="1"/>
  <c r="L82" i="1"/>
  <c r="L235" i="1" s="1"/>
  <c r="I82" i="1"/>
  <c r="K82" i="1" l="1"/>
  <c r="M62" i="1"/>
  <c r="L240" i="1"/>
  <c r="J210" i="1"/>
  <c r="L237" i="1" l="1"/>
  <c r="L239" i="1" s="1"/>
  <c r="J68" i="1"/>
  <c r="J16" i="1"/>
  <c r="J51" i="1" s="1"/>
  <c r="M61" i="1"/>
  <c r="M63" i="1"/>
  <c r="M64" i="1"/>
  <c r="M65" i="1"/>
  <c r="M66" i="1"/>
  <c r="M67" i="1"/>
  <c r="M69" i="1"/>
  <c r="M70" i="1"/>
  <c r="M71" i="1"/>
  <c r="M72" i="1"/>
  <c r="M73" i="1"/>
  <c r="M74" i="1"/>
  <c r="M75" i="1"/>
  <c r="M77" i="1"/>
  <c r="M78" i="1"/>
  <c r="M79" i="1"/>
  <c r="M80" i="1"/>
  <c r="M81" i="1"/>
  <c r="M82" i="1"/>
  <c r="M83" i="1"/>
  <c r="M84" i="1"/>
  <c r="M85" i="1"/>
  <c r="M86" i="1"/>
  <c r="M87" i="1"/>
  <c r="M88" i="1"/>
  <c r="M89" i="1"/>
  <c r="M90" i="1"/>
  <c r="M91" i="1"/>
  <c r="M92" i="1"/>
  <c r="M93" i="1"/>
  <c r="M94" i="1"/>
  <c r="M95"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3" i="1"/>
  <c r="M154" i="1"/>
  <c r="M155" i="1"/>
  <c r="M156" i="1"/>
  <c r="M157" i="1"/>
  <c r="M158" i="1"/>
  <c r="M159" i="1"/>
  <c r="M160" i="1"/>
  <c r="M161" i="1"/>
  <c r="M162" i="1"/>
  <c r="M163" i="1"/>
  <c r="M164" i="1"/>
  <c r="M165" i="1"/>
  <c r="M166" i="1"/>
  <c r="M167" i="1"/>
  <c r="M168" i="1"/>
  <c r="M169" i="1"/>
  <c r="M170" i="1"/>
  <c r="M171" i="1"/>
  <c r="M173" i="1"/>
  <c r="M174" i="1"/>
  <c r="M175" i="1"/>
  <c r="M176" i="1"/>
  <c r="M177" i="1"/>
  <c r="M178" i="1"/>
  <c r="M179" i="1"/>
  <c r="M180" i="1"/>
  <c r="M181" i="1"/>
  <c r="M182" i="1"/>
  <c r="M183" i="1"/>
  <c r="M184" i="1"/>
  <c r="M185" i="1"/>
  <c r="M186"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7" i="1"/>
  <c r="M218" i="1"/>
  <c r="M219" i="1"/>
  <c r="M220" i="1"/>
  <c r="M221" i="1"/>
  <c r="M223" i="1"/>
  <c r="M224" i="1"/>
  <c r="M225" i="1"/>
  <c r="M226" i="1"/>
  <c r="M227" i="1"/>
  <c r="M233" i="1"/>
  <c r="M234" i="1"/>
  <c r="M236" i="1"/>
  <c r="M238" i="1"/>
  <c r="M60" i="1"/>
  <c r="M52" i="1"/>
  <c r="M5" i="1"/>
  <c r="M6" i="1"/>
  <c r="M7" i="1"/>
  <c r="M8" i="1"/>
  <c r="M9" i="1"/>
  <c r="M10" i="1"/>
  <c r="M11" i="1"/>
  <c r="M12" i="1"/>
  <c r="M13" i="1"/>
  <c r="M14" i="1"/>
  <c r="M15" i="1"/>
  <c r="M17" i="1"/>
  <c r="M18" i="1"/>
  <c r="M19" i="1"/>
  <c r="M20" i="1"/>
  <c r="M21" i="1"/>
  <c r="M22" i="1"/>
  <c r="M23" i="1"/>
  <c r="M24" i="1"/>
  <c r="M25" i="1"/>
  <c r="M26" i="1"/>
  <c r="M27" i="1"/>
  <c r="M28" i="1"/>
  <c r="M29" i="1"/>
  <c r="M30" i="1"/>
  <c r="M31" i="1"/>
  <c r="M32" i="1"/>
  <c r="M34" i="1"/>
  <c r="M35" i="1"/>
  <c r="M36" i="1"/>
  <c r="M37" i="1"/>
  <c r="M38" i="1"/>
  <c r="M40" i="1"/>
  <c r="M41" i="1"/>
  <c r="M42" i="1"/>
  <c r="M43" i="1"/>
  <c r="M44" i="1"/>
  <c r="M45" i="1"/>
  <c r="M68" i="1" l="1"/>
  <c r="J76" i="1"/>
  <c r="J235" i="1" s="1"/>
  <c r="M16" i="1"/>
  <c r="I44" i="1"/>
  <c r="K44" i="1" s="1"/>
  <c r="I226" i="1"/>
  <c r="J53" i="1" l="1"/>
  <c r="M53" i="1" s="1"/>
  <c r="M51" i="1"/>
  <c r="I233" i="1"/>
  <c r="K226" i="1"/>
  <c r="M76" i="1"/>
  <c r="I16" i="1"/>
  <c r="K16" i="1" l="1"/>
  <c r="M235" i="1"/>
  <c r="J237" i="1"/>
  <c r="J240" i="1"/>
  <c r="M240" i="1" s="1"/>
  <c r="I189" i="1"/>
  <c r="K189" i="1" s="1"/>
  <c r="I91" i="1"/>
  <c r="K91" i="1" s="1"/>
  <c r="H11" i="1"/>
  <c r="H12" i="1"/>
  <c r="H14" i="1"/>
  <c r="H62" i="1"/>
  <c r="H68" i="1"/>
  <c r="H91" i="1"/>
  <c r="H102" i="1"/>
  <c r="H82" i="1"/>
  <c r="H121" i="1"/>
  <c r="H131" i="1"/>
  <c r="H141" i="1"/>
  <c r="H146" i="1"/>
  <c r="H155" i="1" s="1"/>
  <c r="H165" i="1"/>
  <c r="H175" i="1"/>
  <c r="H170" i="1" s="1"/>
  <c r="H177" i="1"/>
  <c r="H181" i="1"/>
  <c r="H189" i="1"/>
  <c r="H206" i="1"/>
  <c r="H233" i="1"/>
  <c r="H52" i="1"/>
  <c r="I105" i="1"/>
  <c r="I20" i="1"/>
  <c r="I52" i="1" s="1"/>
  <c r="E14" i="1"/>
  <c r="I174" i="1"/>
  <c r="K174" i="1" s="1"/>
  <c r="I68" i="1"/>
  <c r="I62" i="1"/>
  <c r="I177" i="1"/>
  <c r="K177" i="1" s="1"/>
  <c r="I181" i="1"/>
  <c r="K181" i="1" s="1"/>
  <c r="I131" i="1"/>
  <c r="K131" i="1" s="1"/>
  <c r="I121" i="1"/>
  <c r="K121" i="1" s="1"/>
  <c r="I141" i="1"/>
  <c r="K141" i="1" s="1"/>
  <c r="I155" i="1"/>
  <c r="K155" i="1" s="1"/>
  <c r="I165" i="1"/>
  <c r="K165" i="1" s="1"/>
  <c r="K233" i="1"/>
  <c r="G181" i="1"/>
  <c r="G189" i="1"/>
  <c r="D52" i="1"/>
  <c r="G153" i="1"/>
  <c r="G155" i="1" s="1"/>
  <c r="G14" i="1"/>
  <c r="G51" i="1" s="1"/>
  <c r="G62" i="1"/>
  <c r="G68" i="1"/>
  <c r="G91" i="1"/>
  <c r="G102" i="1"/>
  <c r="G236" i="1" s="1"/>
  <c r="G82" i="1"/>
  <c r="G121" i="1"/>
  <c r="G131" i="1"/>
  <c r="G141" i="1"/>
  <c r="G165" i="1"/>
  <c r="G170" i="1"/>
  <c r="G177" i="1"/>
  <c r="G233" i="1"/>
  <c r="G52" i="1"/>
  <c r="F62" i="1"/>
  <c r="F73" i="1"/>
  <c r="F68" i="1" s="1"/>
  <c r="F14" i="1"/>
  <c r="F18" i="1"/>
  <c r="F52" i="1"/>
  <c r="F82" i="1"/>
  <c r="F91" i="1"/>
  <c r="F102" i="1"/>
  <c r="F236" i="1" s="1"/>
  <c r="F121" i="1"/>
  <c r="F131" i="1"/>
  <c r="F141" i="1"/>
  <c r="F145" i="1"/>
  <c r="F155" i="1" s="1"/>
  <c r="F163" i="1"/>
  <c r="F165" i="1" s="1"/>
  <c r="F170" i="1"/>
  <c r="F177" i="1"/>
  <c r="F181" i="1"/>
  <c r="F189" i="1"/>
  <c r="F199" i="1"/>
  <c r="F233" i="1"/>
  <c r="D136" i="1"/>
  <c r="E136" i="1" s="1"/>
  <c r="D137" i="1"/>
  <c r="E137" i="1" s="1"/>
  <c r="D138" i="1"/>
  <c r="E138" i="1" s="1"/>
  <c r="D139" i="1"/>
  <c r="E139" i="1" s="1"/>
  <c r="D159" i="1"/>
  <c r="E159" i="1" s="1"/>
  <c r="D160" i="1"/>
  <c r="E160" i="1" s="1"/>
  <c r="D161" i="1"/>
  <c r="E161" i="1" s="1"/>
  <c r="D162" i="1"/>
  <c r="E162" i="1" s="1"/>
  <c r="E62" i="1"/>
  <c r="E199" i="1"/>
  <c r="E73" i="1"/>
  <c r="E68" i="1" s="1"/>
  <c r="E170" i="1"/>
  <c r="E177" i="1"/>
  <c r="E181" i="1"/>
  <c r="E189" i="1"/>
  <c r="E82" i="1"/>
  <c r="E92" i="1"/>
  <c r="E91" i="1" s="1"/>
  <c r="E102" i="1"/>
  <c r="E121" i="1"/>
  <c r="E131" i="1"/>
  <c r="E145" i="1"/>
  <c r="E155" i="1" s="1"/>
  <c r="E206" i="1"/>
  <c r="E233" i="1"/>
  <c r="E9" i="1"/>
  <c r="E18" i="1"/>
  <c r="D163" i="1"/>
  <c r="D214" i="1"/>
  <c r="D215" i="1"/>
  <c r="D217" i="1"/>
  <c r="D218" i="1"/>
  <c r="D219" i="1"/>
  <c r="D220" i="1"/>
  <c r="D226" i="1"/>
  <c r="D60" i="1"/>
  <c r="D61" i="1"/>
  <c r="D63" i="1"/>
  <c r="D64" i="1"/>
  <c r="D65" i="1"/>
  <c r="D66" i="1"/>
  <c r="D67" i="1"/>
  <c r="D69" i="1"/>
  <c r="D70" i="1"/>
  <c r="D71" i="1"/>
  <c r="D72" i="1"/>
  <c r="D73" i="1"/>
  <c r="D74" i="1"/>
  <c r="D86" i="1"/>
  <c r="D87" i="1"/>
  <c r="C88" i="1"/>
  <c r="D88" i="1" s="1"/>
  <c r="D89" i="1"/>
  <c r="C90" i="1"/>
  <c r="D90" i="1" s="1"/>
  <c r="D92" i="1"/>
  <c r="D93" i="1"/>
  <c r="D94" i="1"/>
  <c r="D95" i="1"/>
  <c r="D97" i="1"/>
  <c r="D98" i="1"/>
  <c r="D99" i="1"/>
  <c r="D100" i="1"/>
  <c r="D101" i="1"/>
  <c r="D102" i="1"/>
  <c r="D103" i="1"/>
  <c r="D104" i="1"/>
  <c r="D105" i="1"/>
  <c r="D106" i="1"/>
  <c r="D107" i="1"/>
  <c r="D109" i="1"/>
  <c r="D80" i="1"/>
  <c r="D82" i="1" s="1"/>
  <c r="D115" i="1"/>
  <c r="D116" i="1"/>
  <c r="D117" i="1"/>
  <c r="D118" i="1"/>
  <c r="D119" i="1"/>
  <c r="D125" i="1"/>
  <c r="D126" i="1"/>
  <c r="D127" i="1"/>
  <c r="D129" i="1"/>
  <c r="D135" i="1"/>
  <c r="D145" i="1"/>
  <c r="D146" i="1"/>
  <c r="D147" i="1"/>
  <c r="D148" i="1"/>
  <c r="D149" i="1"/>
  <c r="D150" i="1"/>
  <c r="D151" i="1"/>
  <c r="C169" i="1"/>
  <c r="D169" i="1" s="1"/>
  <c r="D171" i="1"/>
  <c r="D173" i="1"/>
  <c r="D174" i="1"/>
  <c r="D175" i="1"/>
  <c r="D176" i="1"/>
  <c r="D178" i="1"/>
  <c r="D179" i="1"/>
  <c r="D180" i="1"/>
  <c r="D182" i="1"/>
  <c r="D183" i="1"/>
  <c r="D184" i="1"/>
  <c r="D188" i="1"/>
  <c r="C190" i="1"/>
  <c r="D190" i="1" s="1"/>
  <c r="D192" i="1"/>
  <c r="D193" i="1"/>
  <c r="D194" i="1"/>
  <c r="D195" i="1"/>
  <c r="D196" i="1"/>
  <c r="C197" i="1"/>
  <c r="D197" i="1" s="1"/>
  <c r="D198" i="1"/>
  <c r="D199" i="1"/>
  <c r="D200" i="1"/>
  <c r="D201" i="1"/>
  <c r="D202" i="1"/>
  <c r="D203" i="1"/>
  <c r="D204" i="1"/>
  <c r="D205" i="1"/>
  <c r="D207" i="1"/>
  <c r="D208" i="1"/>
  <c r="D4" i="1"/>
  <c r="D5" i="1"/>
  <c r="D6" i="1"/>
  <c r="D7" i="1"/>
  <c r="D11" i="1"/>
  <c r="D12" i="1"/>
  <c r="D13" i="1"/>
  <c r="D14" i="1"/>
  <c r="D15" i="1"/>
  <c r="D16" i="1"/>
  <c r="D17" i="1"/>
  <c r="D18" i="1"/>
  <c r="D29" i="1"/>
  <c r="D30" i="1"/>
  <c r="D31" i="1"/>
  <c r="D32" i="1"/>
  <c r="D34" i="1"/>
  <c r="D35" i="1"/>
  <c r="D36" i="1"/>
  <c r="D37" i="1"/>
  <c r="D42" i="1"/>
  <c r="C44" i="1"/>
  <c r="D44" i="1" s="1"/>
  <c r="C68" i="1"/>
  <c r="C91" i="1"/>
  <c r="C62" i="1"/>
  <c r="C9" i="1"/>
  <c r="C21" i="1"/>
  <c r="C82" i="1"/>
  <c r="C102" i="1"/>
  <c r="C121" i="1"/>
  <c r="C131" i="1"/>
  <c r="C141" i="1"/>
  <c r="C155" i="1"/>
  <c r="C165" i="1"/>
  <c r="C170" i="1"/>
  <c r="C177" i="1"/>
  <c r="C181" i="1"/>
  <c r="C233" i="1"/>
  <c r="K62" i="1" l="1"/>
  <c r="I76" i="1"/>
  <c r="I51" i="1"/>
  <c r="K51" i="1" s="1"/>
  <c r="I170" i="1"/>
  <c r="K170" i="1" s="1"/>
  <c r="D181" i="1"/>
  <c r="G53" i="1"/>
  <c r="D236" i="1"/>
  <c r="F76" i="1"/>
  <c r="H51" i="1"/>
  <c r="H53" i="1" s="1"/>
  <c r="G111" i="1"/>
  <c r="H236" i="1"/>
  <c r="G76" i="1"/>
  <c r="F51" i="1"/>
  <c r="F53" i="1" s="1"/>
  <c r="F111" i="1"/>
  <c r="C51" i="1"/>
  <c r="C76" i="1"/>
  <c r="E51" i="1"/>
  <c r="H76" i="1"/>
  <c r="D233" i="1"/>
  <c r="D165" i="1"/>
  <c r="J239" i="1"/>
  <c r="M239" i="1" s="1"/>
  <c r="M237" i="1"/>
  <c r="D177" i="1"/>
  <c r="I102" i="1"/>
  <c r="I236" i="1" s="1"/>
  <c r="K236" i="1" s="1"/>
  <c r="K20" i="1"/>
  <c r="C111" i="1"/>
  <c r="E76" i="1"/>
  <c r="K68" i="1"/>
  <c r="K105" i="1"/>
  <c r="H111" i="1"/>
  <c r="D131" i="1"/>
  <c r="F210" i="1"/>
  <c r="C206" i="1"/>
  <c r="C236" i="1" s="1"/>
  <c r="C52" i="1"/>
  <c r="D189" i="1"/>
  <c r="C189" i="1"/>
  <c r="E236" i="1"/>
  <c r="D141" i="1"/>
  <c r="D68" i="1"/>
  <c r="D170" i="1"/>
  <c r="D91" i="1"/>
  <c r="D111" i="1" s="1"/>
  <c r="D62" i="1"/>
  <c r="D155" i="1"/>
  <c r="D121" i="1"/>
  <c r="D51" i="1"/>
  <c r="D53" i="1" s="1"/>
  <c r="G210" i="1"/>
  <c r="G235" i="1" s="1"/>
  <c r="E210" i="1"/>
  <c r="H210" i="1"/>
  <c r="E165" i="1"/>
  <c r="I210" i="1"/>
  <c r="E141" i="1"/>
  <c r="E111" i="1"/>
  <c r="K52" i="1"/>
  <c r="E52" i="1"/>
  <c r="K76" i="1" l="1"/>
  <c r="C210" i="1"/>
  <c r="C235" i="1" s="1"/>
  <c r="C240" i="1" s="1"/>
  <c r="C53" i="1"/>
  <c r="D210" i="1"/>
  <c r="E53" i="1"/>
  <c r="F235" i="1"/>
  <c r="F237" i="1" s="1"/>
  <c r="F239" i="1" s="1"/>
  <c r="H235" i="1"/>
  <c r="H237" i="1" s="1"/>
  <c r="H239" i="1" s="1"/>
  <c r="K102" i="1"/>
  <c r="I111" i="1"/>
  <c r="K111" i="1" s="1"/>
  <c r="K210" i="1"/>
  <c r="I53" i="1"/>
  <c r="K53" i="1" s="1"/>
  <c r="D76" i="1"/>
  <c r="E235" i="1"/>
  <c r="E237" i="1" s="1"/>
  <c r="G237" i="1"/>
  <c r="G239" i="1" s="1"/>
  <c r="G240" i="1"/>
  <c r="C237" i="1" l="1"/>
  <c r="C239" i="1" s="1"/>
  <c r="I235" i="1"/>
  <c r="E239" i="1"/>
  <c r="D235" i="1"/>
  <c r="D240" i="1" s="1"/>
  <c r="H240" i="1"/>
  <c r="F240" i="1"/>
  <c r="E240" i="1"/>
  <c r="D237" i="1" l="1"/>
  <c r="D239" i="1" s="1"/>
  <c r="I237" i="1"/>
  <c r="I240" i="1"/>
  <c r="K240" i="1" s="1"/>
  <c r="K235" i="1"/>
  <c r="K237" i="1" l="1"/>
  <c r="I239" i="1"/>
  <c r="K239" i="1" s="1"/>
</calcChain>
</file>

<file path=xl/comments1.xml><?xml version="1.0" encoding="utf-8"?>
<comments xmlns="http://schemas.openxmlformats.org/spreadsheetml/2006/main">
  <authors>
    <author>SCLS</author>
  </authors>
  <commentList>
    <comment ref="B93" authorId="0" shapeId="0">
      <text>
        <r>
          <rPr>
            <b/>
            <sz val="9"/>
            <color indexed="81"/>
            <rFont val="Tahoma"/>
            <family val="2"/>
          </rPr>
          <t>SCLS:</t>
        </r>
        <r>
          <rPr>
            <sz val="9"/>
            <color indexed="81"/>
            <rFont val="Tahoma"/>
            <family val="2"/>
          </rPr>
          <t xml:space="preserve">
2017 cataloging = $89,141.78
2017 cat credits = $17,324.20
2017 access = $9,972.42</t>
        </r>
      </text>
    </comment>
  </commentList>
</comments>
</file>

<file path=xl/sharedStrings.xml><?xml version="1.0" encoding="utf-8"?>
<sst xmlns="http://schemas.openxmlformats.org/spreadsheetml/2006/main" count="388" uniqueCount="347">
  <si>
    <t>ACCT #</t>
  </si>
  <si>
    <t>SUBPROGRAM/ ITEM/ACCOUNT CODE</t>
  </si>
  <si>
    <t>PROJECTED REVENUES</t>
  </si>
  <si>
    <t>REVENUE SOURCE</t>
  </si>
  <si>
    <t>STATE AIDS - 4010</t>
  </si>
  <si>
    <t>INTEREST INCOME - 4030</t>
  </si>
  <si>
    <t>ALLOCATED INTEREST - 4040</t>
  </si>
  <si>
    <t>GENERAL CARRYOVER - 4050</t>
  </si>
  <si>
    <t xml:space="preserve">MEMBER DELIVERY (BY COUNTY) - 4120  </t>
  </si>
  <si>
    <t>OTHER DELIVERY (LINK EXPRESS) - 4130</t>
  </si>
  <si>
    <t>PROCEEDS FROM SALE OF A VEHICLE - 4150</t>
  </si>
  <si>
    <t>MULTI-TYPE AND INTERSYSTEM DELIVERY - 4170</t>
  </si>
  <si>
    <t>SPECIAL REQUEST DELIVERY SERVICE - 4180</t>
  </si>
  <si>
    <t>WLA RENT - 4220</t>
  </si>
  <si>
    <t>ILS/TECHNOLOGY MEMBER PAYMENTS - 4242</t>
  </si>
  <si>
    <t>TECHNOLOGY CARRYOVER FOR EQUIPMENT REPLACEMENT - 4245</t>
  </si>
  <si>
    <t>Moved to tech contingency</t>
  </si>
  <si>
    <t>ILS CARRYOVER FOR FUTURE DEVELOPMENT - 4270</t>
  </si>
  <si>
    <t>Consulting Services Fees - 4280</t>
  </si>
  <si>
    <t xml:space="preserve">          Marketing/PR/Advocacy Services</t>
  </si>
  <si>
    <t xml:space="preserve">          Web Services</t>
  </si>
  <si>
    <t xml:space="preserve">          Public Library Administration Services</t>
  </si>
  <si>
    <t xml:space="preserve">          CE Services</t>
  </si>
  <si>
    <t xml:space="preserve">          Youth Services</t>
  </si>
  <si>
    <t xml:space="preserve">          Building Design Services</t>
  </si>
  <si>
    <t>Foundation Admin Fees - 4290</t>
  </si>
  <si>
    <t>LSTA - TECHNOLOGY (11-142) - 9102</t>
  </si>
  <si>
    <t>LSTA - DELIVERY (11-116) - 9113</t>
  </si>
  <si>
    <t>LSTA-Serving the Homeless - 9120</t>
  </si>
  <si>
    <t>LSTA-DIGITAL CONTENT BUYING POOL - 9140</t>
  </si>
  <si>
    <t>Enterprise Wireless Income-9160</t>
  </si>
  <si>
    <t>MEMBERS DIGITAL CONTENT BUYING POOL - 9170</t>
  </si>
  <si>
    <t>TOTAL REVENUE ( without carry over funds)</t>
  </si>
  <si>
    <t>TOTAL CARRY OVER FUNDS</t>
  </si>
  <si>
    <t>GRAND TOTAL ALL REVENUE SOURCES</t>
  </si>
  <si>
    <t>PROJECTED EXPENDITURES</t>
  </si>
  <si>
    <t>INTERLOAN AND RESOURCE SERVICES</t>
  </si>
  <si>
    <t>MADISON PUBLIC LIBRARY - 5130</t>
  </si>
  <si>
    <t>DAMAGED MATERIALS - 5230</t>
  </si>
  <si>
    <t>OUT-OF-SYSTEM INTERLOAN - 5310</t>
  </si>
  <si>
    <t xml:space="preserve">WorldShare ILL: </t>
  </si>
  <si>
    <t xml:space="preserve">1/4 of OCLC Access Fee: </t>
  </si>
  <si>
    <t>IFM Fees:</t>
  </si>
  <si>
    <t>ONLINE CONTENT AND MEMBERSHIPS - 5320</t>
  </si>
  <si>
    <t xml:space="preserve">WorldCat Discovery Subscription (First Search)for members and patrons: </t>
  </si>
  <si>
    <t>WPLC Membership:</t>
  </si>
  <si>
    <t xml:space="preserve">WPLC Purchasing Pool for e-Content: </t>
  </si>
  <si>
    <t xml:space="preserve">WiLS membership: </t>
  </si>
  <si>
    <t>SRLAAW:</t>
  </si>
  <si>
    <t>Recollection WI:</t>
  </si>
  <si>
    <t>SUBPROGRAM I. TOTALS</t>
  </si>
  <si>
    <t>MULTITYPE LIBRARY COOPERATION</t>
  </si>
  <si>
    <t>STAFF SALARIES AND WAGES - 5510</t>
  </si>
  <si>
    <t>SUBPROGRAM III. TOTALS</t>
  </si>
  <si>
    <t>ILS/TECHNOLOGY SERVICES</t>
  </si>
  <si>
    <t>ILS CONTRACTED SUPPORT - 5530</t>
  </si>
  <si>
    <t>ILS CONTRACTED DEVELOPMENT --5535</t>
  </si>
  <si>
    <t>ILS THIRD PARTY MAINTENANCE &amp; STARTUP -- 5540</t>
  </si>
  <si>
    <t>ILS TELENOTICE PHONE CHARGES -- 5545</t>
  </si>
  <si>
    <t>ILS STAFF SALARIES - 5550</t>
  </si>
  <si>
    <t>ILS CATALOGING SOFTWARE/CONTRACT - 5551</t>
  </si>
  <si>
    <t>updated OCLC amount</t>
  </si>
  <si>
    <t>ILS AUTHORITY CONTROL - 5552</t>
  </si>
  <si>
    <t>TECHNOLOGY: HARDWARE MAINTENANCE - 5555</t>
  </si>
  <si>
    <t>TECHNOLOGY: TELECOMMUNICATIONS/CENTRAL SERVER HARDWARE - 5560</t>
  </si>
  <si>
    <t>TECHNOLOGY: SOFTWARE LICENSES - 5565</t>
  </si>
  <si>
    <t>TECHNOLOGY: SUPPORT EQUIP. &amp; SERVICES - 5570</t>
  </si>
  <si>
    <t>TECHNOLOGY: BROADBAND LINES &amp; SERVICES - 5575</t>
  </si>
  <si>
    <t>TECHNOLOGY: STAFF SALARIES - 5580</t>
  </si>
  <si>
    <t>TECHNOLOGY CONTINGENCY - 5585</t>
  </si>
  <si>
    <t>ENTERPRISE WIRELESS CONTINGENCY EXP - 5586</t>
  </si>
  <si>
    <t>LIBRARY ONLINE CONTINGENCY EXP - 5587</t>
  </si>
  <si>
    <t>ILS CARRYOVER FOR FUTURE DEVELOPMENT - 5590</t>
  </si>
  <si>
    <t>ENTERPRISE WIRELESS EXPENSES-9161</t>
  </si>
  <si>
    <t>now included in other tech accounts and part of cost formula</t>
  </si>
  <si>
    <t>SUBPROGRAM II. TOTALS</t>
  </si>
  <si>
    <t>PUBLIC INFORMATION SERVICES</t>
  </si>
  <si>
    <t>STAFF SALARIES AND WAGES - 5710</t>
  </si>
  <si>
    <t>CONTRACTED PRINTING SERVICES - 5740</t>
  </si>
  <si>
    <t>SUPPLIES - 5750</t>
  </si>
  <si>
    <t>COPIER LEASE &amp; IN-HOUSE PRINTING - 5760</t>
  </si>
  <si>
    <t>PRODUCT/SERVICE AWARENESS - 5770</t>
  </si>
  <si>
    <t>SUBPROGRAM IV. TOTALS</t>
  </si>
  <si>
    <t>CONSULTANT SERVICES</t>
  </si>
  <si>
    <t>STAFF SALARIES AND WAGES - 6010</t>
  </si>
  <si>
    <t>TRAVEL AND CONT. ED. EXPENSES - 6040</t>
  </si>
  <si>
    <t>MILEAGE EXPENSES-6050</t>
  </si>
  <si>
    <t>SUBPROGRAM V. TOTALS</t>
  </si>
  <si>
    <t>CONT. ED &amp; PROF. DEVELOPMENT</t>
  </si>
  <si>
    <t>CONTRACTED TRAINING &amp; CONSULTATION - 7010</t>
  </si>
  <si>
    <t>PROFESSIONAL MATERIALS - 7030</t>
  </si>
  <si>
    <t>SUBSCRIPTIONS - 7050</t>
  </si>
  <si>
    <t>MEM LIB PROFESSIONAL DEVELOPMENT - 7070</t>
  </si>
  <si>
    <t>MEETING SUPPLIES - 7090</t>
  </si>
  <si>
    <t>SUBPROGRAM VIII. TOTALS</t>
  </si>
  <si>
    <t>DELIVERY AND MATERIALS CONTROL</t>
  </si>
  <si>
    <t>FLEET EXPENSES - 7210</t>
  </si>
  <si>
    <t>STAFF SALARIES - 7220</t>
  </si>
  <si>
    <t>BONDING, CARGO, AND FLEET INSURANCE - 7260</t>
  </si>
  <si>
    <t>SUPPLIES AND EQUIPMENT - 7270</t>
  </si>
  <si>
    <t>FLEET REPLACEMENT - 7280</t>
  </si>
  <si>
    <t>CONTRACTED SERVICES - 7290</t>
  </si>
  <si>
    <t>SUBPROGRAM IX. TOTALS</t>
  </si>
  <si>
    <t>PROGRAM DEVELOPMENT</t>
  </si>
  <si>
    <t>SLP LIVE PERFORMANCES - 7440</t>
  </si>
  <si>
    <t>moved to 7430</t>
  </si>
  <si>
    <t>SLP PRINTING AND SUPPLIES - 7450</t>
  </si>
  <si>
    <t>C &amp;Y A/SPECIAL NEEDS MATERIALS - 7470</t>
  </si>
  <si>
    <t>EXPERIMENTAL SERVICES FOR LIBRARIES - 7475</t>
  </si>
  <si>
    <t>SUBPROGRAM X. TOTALS</t>
  </si>
  <si>
    <t>ADMINISTRATION AND COORDINATION</t>
  </si>
  <si>
    <t>STAFF SALARIES AND WAGES - 7610</t>
  </si>
  <si>
    <t>FACILITY - HQ - 7650</t>
  </si>
  <si>
    <t xml:space="preserve">          7646 Floor Mats</t>
  </si>
  <si>
    <t xml:space="preserve">          7651 Rent</t>
  </si>
  <si>
    <t xml:space="preserve">          7652 Utilities</t>
  </si>
  <si>
    <t xml:space="preserve">          7653 Janitorial</t>
  </si>
  <si>
    <t xml:space="preserve">          7654 Offsite Storage</t>
  </si>
  <si>
    <t>SUPPLIES - 7655</t>
  </si>
  <si>
    <t xml:space="preserve">          7656 Administration</t>
  </si>
  <si>
    <t xml:space="preserve">          7657 Automation (ILS)</t>
  </si>
  <si>
    <t>VENDING EXPENSES - 7666</t>
  </si>
  <si>
    <t>TELEPHONE - 7670</t>
  </si>
  <si>
    <t xml:space="preserve">          7672 SC Headquarters</t>
  </si>
  <si>
    <t xml:space="preserve">          7673 Delivery</t>
  </si>
  <si>
    <t>POSTAGE - 7680</t>
  </si>
  <si>
    <t xml:space="preserve">          7681 Administration</t>
  </si>
  <si>
    <t xml:space="preserve">          7682 Automation</t>
  </si>
  <si>
    <t>BOARD TRAVEL &amp;  EXPENSES &amp; MEMBERSHIPS - 7690</t>
  </si>
  <si>
    <t>EMPLOYEE INSURANCES - 7700</t>
  </si>
  <si>
    <t xml:space="preserve">          7701 Health Insurance</t>
  </si>
  <si>
    <t xml:space="preserve">          7702 Income Continuation Insurance</t>
  </si>
  <si>
    <t>Premium holiday expected to remain in place</t>
  </si>
  <si>
    <t xml:space="preserve">          7703 Dental Insurance</t>
  </si>
  <si>
    <t xml:space="preserve">          7704 Life Insurance</t>
  </si>
  <si>
    <t>WISCONSIN RETIREMENT - 7710</t>
  </si>
  <si>
    <t>SOCIAL SECURITY/MEDICARE (FICA) - 7720</t>
  </si>
  <si>
    <t>WORKERS COMP AND GENERAL INS - 7730</t>
  </si>
  <si>
    <t>UNEMPLOYMENT - 7735</t>
  </si>
  <si>
    <t>AUDIT - 7740</t>
  </si>
  <si>
    <t>CONTRACTED SERVICES HQ - 7745</t>
  </si>
  <si>
    <t>BOOKKEEPING - 7750</t>
  </si>
  <si>
    <t>Flexible Spending Account (FSA) Fees - 7751</t>
  </si>
  <si>
    <t>SCLS COMPUTER HARDWARE AND SUPPLIES - 7752</t>
  </si>
  <si>
    <t>SCLS OFFICE EQUIPMENT AND REPAIRS - 7760</t>
  </si>
  <si>
    <t>First Bus. Bank Fees Fixed Income Portfolio - 7771</t>
  </si>
  <si>
    <t>BANK SERVICE FEES - 8011</t>
  </si>
  <si>
    <t>LEGAL FEES-8015</t>
  </si>
  <si>
    <t>SUBPROGRAM XI. TOTALS</t>
  </si>
  <si>
    <t>SPECIAL FUNDS</t>
  </si>
  <si>
    <t>LSTA - TECHNOLOGY - 9103</t>
  </si>
  <si>
    <t>LSTA - DELIVERY - 9114</t>
  </si>
  <si>
    <t>LSTA - Serving the Homeless - 9121</t>
  </si>
  <si>
    <t>LSTA - DIGITAL CONTENT BUYING POOL - 9141</t>
  </si>
  <si>
    <t>MEMBERS DIGITAL CONTENT BUYING POOL - 9171</t>
  </si>
  <si>
    <t>SUBPROGRAM XIII. TOTALS</t>
  </si>
  <si>
    <t>PROJECTED EXPENDITURE TOTALS (without contingencies)</t>
  </si>
  <si>
    <t>PROJECTED CONTINGENCY EXPENSE TOTALS</t>
  </si>
  <si>
    <t>GRAND TOTAL</t>
  </si>
  <si>
    <t>Net Profit (Loss):  Total Revenue/Carryover - Total Expenses/Contingency</t>
  </si>
  <si>
    <t>Projected increase (or decrease) of contingency funds)</t>
  </si>
  <si>
    <t>2018 Budget</t>
  </si>
  <si>
    <t>OCLC Cataloging and Metadata Subscription</t>
  </si>
  <si>
    <t>No longer a separate fee</t>
  </si>
  <si>
    <t>Works as ILL loaning credit to offset when we have to pay to borrow</t>
  </si>
  <si>
    <t>Miscellaneous Admin Income - 4405</t>
  </si>
  <si>
    <t>LSTA-Serving Job Seekers (16-121) - 9125</t>
  </si>
  <si>
    <t>LSTA - Serving Job Seekers (16-121)- 9126</t>
  </si>
  <si>
    <t>DELIVERY/GENERAL CARRYOVER - 8010</t>
  </si>
  <si>
    <t>2019 Budget</t>
  </si>
  <si>
    <t>2018 Mid-Year</t>
  </si>
  <si>
    <t>WORKFORCE DEVELOPMENT EXP-6060</t>
  </si>
  <si>
    <t>DIGITIZATION EXPENSES-6070</t>
  </si>
  <si>
    <t>TEACH Training Grant</t>
  </si>
  <si>
    <t>WISCAT fees/RLL:  pd to DPI</t>
  </si>
  <si>
    <t>3RD PARTY ANNUAL SUPPORT AND MAINTENANCE FEES - 4241</t>
  </si>
  <si>
    <t>Interest/Dividends Fixed Income - 4041</t>
  </si>
  <si>
    <t>Interest/Dividends CD Account - 4042</t>
  </si>
  <si>
    <t>CHANGE IN MARKET APPREC FIXED INC - 4060</t>
  </si>
  <si>
    <t>LSTA-Adverse Childhood Exp (16-211)</t>
  </si>
  <si>
    <t>3RD PARTY ANNUAL SUPPORT AND MAINTENANCE EXPENSES - 5591</t>
  </si>
  <si>
    <t>TECH CONTRACTED SERVICES - 5592</t>
  </si>
  <si>
    <t>YOUTH LITERACY SUPPLEMENTS-7430</t>
  </si>
  <si>
    <t>FBB fee CD Account - 7772</t>
  </si>
  <si>
    <t>BCN, VPN, WiscNet libraries, MUFN, SCLS WiscNet, SCLS BCN</t>
  </si>
  <si>
    <t>LSTA-SERVING OLDER ADULTS</t>
  </si>
  <si>
    <t>WPLC paying this fee</t>
  </si>
  <si>
    <t xml:space="preserve"> This account will be used to pay for contracted consultants, firewall work, etc to replace work previously done by Tech Staff</t>
  </si>
  <si>
    <t>2020 Budget</t>
  </si>
  <si>
    <t>Allocated interest is recorded in member holding accounts</t>
  </si>
  <si>
    <t>In 2020 split Evanced ($1900) with another account 7752, as room scheduling tool used internally as well.</t>
  </si>
  <si>
    <t>ILL/IFM for STP</t>
  </si>
  <si>
    <t xml:space="preserve">Madison Cataloging Contract:  </t>
  </si>
  <si>
    <t>Includes funds for Workforce Development Specialist position and their cell phone</t>
  </si>
  <si>
    <t>Budget $3,000 for Jean, plus $312 for the WI State Journal subscription and $211 for Kerrie's HR Employment Law subscription</t>
  </si>
  <si>
    <t>$200 x 4 members (MAD, MID, MFD, STP):  pd to DPI, not OCLC</t>
  </si>
  <si>
    <t>2019 Mid-Year</t>
  </si>
  <si>
    <t>Back Up Collaboration System Contribution Income - 4243</t>
  </si>
  <si>
    <t>WISElearn Grant</t>
  </si>
  <si>
    <t>Back Up Collaboration LSTA</t>
  </si>
  <si>
    <t>Digitization Collaboration LSTA</t>
  </si>
  <si>
    <t>Back Up Collaboration Project Expenses - 5595</t>
  </si>
  <si>
    <t>Back Up Collaboration LSTA 2019</t>
  </si>
  <si>
    <t>Combines incentive and performer for Youth Literacy Supplements</t>
  </si>
  <si>
    <t>MARATHON COUNTY DELIVERY - 7297</t>
  </si>
  <si>
    <t>2020 Mid-Year</t>
  </si>
  <si>
    <t>2021 Budget</t>
  </si>
  <si>
    <t>One flat fee for SCLS includes access.  We do not get a separate bill for MFD or BAR. MID is paid out of the WIM account. Billed July - June adjust at 6 mths OCLC held prices flat from 2020</t>
  </si>
  <si>
    <t>ILL for STP OCLC held prices flat from 2020</t>
  </si>
  <si>
    <t>Billed July-June   Adjust at 6 mths OCLC held flat from 2020</t>
  </si>
  <si>
    <t>2021 state aid same as 2020</t>
  </si>
  <si>
    <t>Interest rates in the state pool have dropped to .51% in April 2020 and rates in the money market are at 1%, which is a significant drop from 2019 rates.  Rates are anticipated to rise again eventually, but projecting a decrease in 2021 from interest received in 2020.</t>
  </si>
  <si>
    <t>Closed out the CD investment</t>
  </si>
  <si>
    <t>OCLC holding prices flat in 2021</t>
  </si>
  <si>
    <t>For SCLS printing we send to MPL, 2021 estimate based on 2018 and 2019</t>
  </si>
  <si>
    <t>2021 estimate based on 2018 and 2019</t>
  </si>
  <si>
    <t>2021 does not include a wage grid increase</t>
  </si>
  <si>
    <t>2021 includes salary reclassifications for Digitization &amp; Workforce Development Specialists. Does not include a wage grid increase.</t>
  </si>
  <si>
    <t>2021 does not include a wage grid increase.</t>
  </si>
  <si>
    <t>Includes a salary reclassification for the Network Administrator.  2021 does not include a wage grid increase.</t>
  </si>
  <si>
    <t xml:space="preserve">2021 Projected 2% increase in premiums over 2020 actual rates.  </t>
  </si>
  <si>
    <t>2021 rates will be held constant.  No increase.</t>
  </si>
  <si>
    <t>2021 projecting no increase in premiums over 2020 actual rates.  Total is higher than 2020 because actual rates came in higher than originally projected for 2020.</t>
  </si>
  <si>
    <t>2020 actual</t>
  </si>
  <si>
    <t>Based on 2019 and 2020 YTD figures</t>
  </si>
  <si>
    <t xml:space="preserve">Total Revenue </t>
  </si>
  <si>
    <t xml:space="preserve">Grand Total Revenue </t>
  </si>
  <si>
    <t>pd thru 6/2021</t>
  </si>
  <si>
    <r>
      <t>Insurance now through United Fire Group: 5% of worker's comp ($2,294), Cyber liability ($4,120)</t>
    </r>
    <r>
      <rPr>
        <sz val="9"/>
        <color theme="5"/>
        <rFont val="Calibri"/>
        <family val="2"/>
        <scheme val="minor"/>
      </rPr>
      <t>, D&amp;O includes EPLI ($3,159),</t>
    </r>
    <r>
      <rPr>
        <sz val="9"/>
        <color theme="1"/>
        <rFont val="Calibri"/>
        <family val="2"/>
        <scheme val="minor"/>
      </rPr>
      <t xml:space="preserve"> property ($2084), </t>
    </r>
    <r>
      <rPr>
        <sz val="9"/>
        <color theme="5"/>
        <rFont val="Calibri"/>
        <family val="2"/>
        <scheme val="minor"/>
      </rPr>
      <t>Inland Marine/Property in Transit ($490</t>
    </r>
    <r>
      <rPr>
        <sz val="9"/>
        <color theme="1"/>
        <rFont val="Calibri"/>
        <family val="2"/>
        <scheme val="minor"/>
      </rPr>
      <t>)</t>
    </r>
  </si>
  <si>
    <t>based on last 2 years, anticipation of more remote working in 2021</t>
  </si>
  <si>
    <t xml:space="preserve"> $13,935.50/mo base rent thru 5/2020, then 3% escalator to $14,353.57 for rest of yr + $1729/mo taxes + $1296.75/mo CAM+ annual CAM/Taxes audit amt $11,000</t>
  </si>
  <si>
    <t xml:space="preserve">Includes one wireless lab, mobile hot spots, ILS and Tech experimental projects, maker kit maintenance, other.  Not covering Tableau anymore (covered under 7752) </t>
  </si>
  <si>
    <t>Includes funds for Digitization Specialist position, removed $3,000 for Indus Scanner maintenance - don't need it.</t>
  </si>
  <si>
    <t xml:space="preserve">Includes SCLS staff PCs, peripherals, 1 meeting room laptop/year, Tech recycling, software to include Survey Monkey, Type Pad, Form Assembly and upgrade and half of the Evanced subscription (split with 7010). Added funds to cover Zoom and Slack. Any purchases above this amount will be paid for out of carryover funds.  Tableau (and all software) comes out of this account. </t>
  </si>
  <si>
    <t>reduced fuel costs with elimination of Saturday service.</t>
  </si>
  <si>
    <t>2021 does not include a wage grid increase.  Includes elimination of Saturday routes.</t>
  </si>
  <si>
    <t>Buying 2 vehicles in 2021, it will come out of contingency.</t>
  </si>
  <si>
    <t xml:space="preserve">Funds allocated to start up of new delivery hub.  </t>
  </si>
  <si>
    <t>Returning to 2019 prices.</t>
  </si>
  <si>
    <t>Returning to 2019 prices for principal customers.</t>
  </si>
  <si>
    <t>Misc Equip &amp; cable needs, cell phones, Log Me In Rescue</t>
  </si>
  <si>
    <t>Annual maintenance cost for licenses for My PC.  My PC = $3179 . Bibliotheca is no longer included in this account as Bibliotheca invoices libraries directly now for maintenance agreements.</t>
  </si>
  <si>
    <t>Includes Bibliotheca support and maintenance fees charged to Bibliotheca ($20,000) of which half needs to go to ILS, and MyPC fees to members ( $8,325) which is $5,146 more than the My PC license cost and the extra will go to tech contingency. Bibliotheca will eventually be replaced by Envisionware fees charged to libraries, which will also be recorded in this account.</t>
  </si>
  <si>
    <t>2021 projections based on 2019, back to normal operations.</t>
  </si>
  <si>
    <t>Based on 2020</t>
  </si>
  <si>
    <t>Based on 2020, rate increase by AT&amp;T for lines</t>
  </si>
  <si>
    <t xml:space="preserve">Based on 2019 and 2020  </t>
  </si>
  <si>
    <t>Discontinued the CD account.</t>
  </si>
  <si>
    <t>based on 2019 and 2020 YTD</t>
  </si>
  <si>
    <t>Same as 2020</t>
  </si>
  <si>
    <t xml:space="preserve">adding $7,614 to Tech Carryover for extra PC support fees </t>
  </si>
  <si>
    <t>adding $5,146 to Tech Carryover for extra MyPC fees</t>
  </si>
  <si>
    <t>no Waltco increase</t>
  </si>
  <si>
    <t>Does not include MyPC. Includes $1,145,355 for ILS, $6,000 for GetIt,  $1,052,581 for Tech ($1,299,323 - SCLS contribution of $244,356 - $10,000 funded by Bibliotheca fees + $7,614 in extra PC support fees which will go to tech contingency).  Note: Adjusted CSP fees down $244 on cost formula after fees were set. So this line may be a little short.</t>
  </si>
  <si>
    <t>Current rent agreement - possible budget savings we could pass along in the amount of $2,398.14.  Also passed along savings from no Waltco increase and higher interest income projections</t>
  </si>
  <si>
    <t>Solus ($26,092) will replace Library Anywhere mobile app. Any expense that exceeds the amount budgeted for Library Anywhere will be paid out of the ILS Carryover 5590.</t>
  </si>
  <si>
    <t>Need to split this account between 5560 and 5557 on the mid-year budget for 2021 and include it moving forward.</t>
  </si>
  <si>
    <t>2022 Budget</t>
  </si>
  <si>
    <t>2021 Mid-Year</t>
  </si>
  <si>
    <t>Change from 2021 Mid-Year</t>
  </si>
  <si>
    <t>2022 Notes</t>
  </si>
  <si>
    <t>Change from 2021</t>
  </si>
  <si>
    <t xml:space="preserve"> $14,353.57/mo base rent thru 5/2020, then 3% escalator to $14,784.18 for rest of yr + $1729/mo taxes + $1296.75/mo CAM+ annual CAM/Taxes audit amt $11,000</t>
  </si>
  <si>
    <t>avg of 2020 and 2021</t>
  </si>
  <si>
    <t>Adding $1800 for additional cell phone cost of $10/mo x 15 phones</t>
  </si>
  <si>
    <t>Uncertain for 2022</t>
  </si>
  <si>
    <t>Based on 2021 YTD performance</t>
  </si>
  <si>
    <t>Return to in person  meetings but no DC trip</t>
  </si>
  <si>
    <t>11% increase</t>
  </si>
  <si>
    <t>CARES Grant</t>
  </si>
  <si>
    <t>Leadership Capacity Streamline LSTA</t>
  </si>
  <si>
    <t>Inclusive Services - Compassion Resilience LSTA</t>
  </si>
  <si>
    <t>ILS Migration LSTA</t>
  </si>
  <si>
    <t>Inclusive Services-Compassion Resilience LSTA</t>
  </si>
  <si>
    <t>Sparcity (Increased Capacity) LSTA</t>
  </si>
  <si>
    <t>2021 mid-year: Balance of grant left to spend</t>
  </si>
  <si>
    <t>LIBRARY OWNED EQUIPMENT</t>
  </si>
  <si>
    <t>Last revised for Mid-Year 2021 budget on 6/3/21</t>
  </si>
  <si>
    <t>This account recorded 2019 expenditures paid for with funds contributed by other systems for the 2019 statewide back up collaboration project.</t>
  </si>
  <si>
    <t>In house copier lease + overage estimate of $4,000 and paper costs - amount billed back to libraries for printing</t>
  </si>
  <si>
    <t>Notes are from the 2021 budget.  Pink= 2021 mid-year budget adjustment notes.</t>
  </si>
  <si>
    <t>interest/dividend income projected, based on FBB projections.  Adjusted for mid-year based on YTD performance.</t>
  </si>
  <si>
    <t>2022 beginning balance is $889,596.29 - purchase of 2 delivery vehicles ($86,000) and 1/2 order of delivery carts ($5,680)</t>
  </si>
  <si>
    <t>Projections based on 2019 and 2020 performance.  2021 mid-year updated to reflect YTD performance.</t>
  </si>
  <si>
    <t>For 2021:  Digital Media Buying Pool ($274,348),  5% increase, MAD no longer paying for SCIDS, they will buy SCIDS (for Advantage) materials out of the Supplementary Agreement starting in 2020, Advantage ($20,000). Includes Transparent Language $5,215. 2021 mid-year updated to include additional contributions made to Advantage.</t>
  </si>
  <si>
    <t xml:space="preserve">2021 starting amount = anticipated ending amount on 2020 mid-year budget which is the 2019 audited amount. 2021 mid-year is audited year end balance at year end 2020.  </t>
  </si>
  <si>
    <t xml:space="preserve"> 2021 starting amount = anticipated ending amount on 2020 mid-year budget which is 2019 audited amount plus anticipated increase in 2020. 2021 mid-year is audited year end balance at year end 2020.  </t>
  </si>
  <si>
    <t xml:space="preserve">2021 starting balance is estimated by taking the 2020 starting balance of $956,824 - purchase of 1 van ($33,000) and 1 truck ($53,000), delivery bins ($4,505), delivery carts ($5,680) and an additional contribution to the SCLS Advantage program during the pandemic closure ($10,000). 2021 mid-year is audited year end balance at year end 2020.  </t>
  </si>
  <si>
    <t xml:space="preserve">Equals 2021 beginning carryover revenue account amount plus adding $7,614 to Tech Carryover for extra PC support fees and $5,146 for extra MyPC fees. 2021 mid-year is audited year end balance at year end 2020.  </t>
  </si>
  <si>
    <t xml:space="preserve">2021 amount = mid-year 2020 anticipated ending amount, which is the 2019 audited amount. 2021 mid-year is audited year end balance at year end 2020.  </t>
  </si>
  <si>
    <t>2021 = Consultants $9,500  + $2,000 for the addition of Digitization &amp; Workforce Development Specialists = $11,500. Administration $4,000; Delivery $500; ILS/Tech $16,000.  $4,888 for new staff development plan.  Reduced budget by $5,646.61 in 2021 due to anticipated reduction in travel/training and will need to redistribute amounts per dept. 2021 mid-year further reduced this budget line to reflect YTD expenditures with staff working remotely and trainings being virtual.</t>
  </si>
  <si>
    <t>Reduced by $5,000 in 2021 due to anticipated reduction in travel/training. 2021 mid-year further reduced this budget line to reflect YTD expenditures with staff working remotely and trainings/meetings being virtual.</t>
  </si>
  <si>
    <t>$175/week + $525 floor wax and $675 shampoo. 2021 mid-year, reduced to reflect only 2xweek cleaning due to staff working remotely.</t>
  </si>
  <si>
    <t>2021 mid-year, reduced to reflect current usage with staff working remotely.</t>
  </si>
  <si>
    <t>Based on 2019, anticipating less travel in 2021. 2021 mid-year, reduced to reflect mostly virtual meeting attendance in 2021.</t>
  </si>
  <si>
    <t>2021 mid-year, adjusted rates to reflect actual 2021 premiums.</t>
  </si>
  <si>
    <t>Projected increase from 6.7% to 7% for 2021 . Update:  WRS rates will not be changing for 2021. Have the option to adjust this line at mid-year if needed. Or use for rebates or staff compensation if needed. 2021 mid-year, adjusted to reflect actual contribution rates.</t>
  </si>
  <si>
    <t>Projected 2021 FICA based on projected salaries. 2021 mid-year, adjusted to reflect actual 2021 expenditures.</t>
  </si>
  <si>
    <r>
      <t>$1,000 base, $122 NCOA fee to match address to Nat'l database and $16,000 for Contegix, and $1,575 for SCLS website.</t>
    </r>
    <r>
      <rPr>
        <sz val="9"/>
        <rFont val="Calibri"/>
        <family val="2"/>
        <scheme val="minor"/>
      </rPr>
      <t xml:space="preserve">  $5,850 not needed in 2021 for SSL certificates for members as those can be obtained at no cost. 2021 mid-year: adding Cascade tool for Drupal half $1200 of 2021</t>
    </r>
  </si>
  <si>
    <t>For 2021:  Digital Media Buying Pool ($274,348), 5% increase   MAD no longer paying for SCIDS, they will buy SCIDS (for Advantage) materials out of the Supplementary Agreement starting in 2020, Advantage ($20,000). Includes Transparent Language $5,215. 2021 mid-year updated to include additional contributions made to Advantage.</t>
  </si>
  <si>
    <t>DELIVERY FACILITY (not including rent) - 7295</t>
  </si>
  <si>
    <t>DELIVERY RENT - 7296</t>
  </si>
  <si>
    <t>Need to split out rent from other building expenses for 1099 reporting</t>
  </si>
  <si>
    <t>Reflects declining interest rates into 2022.</t>
  </si>
  <si>
    <t>interest/dividend income projected, based on FBB projections.</t>
  </si>
  <si>
    <t>Vicki's budget has $497,198</t>
  </si>
  <si>
    <t>1% - 2% increases planned</t>
  </si>
  <si>
    <t>15% reduction in UW Contract</t>
  </si>
  <si>
    <t>Current lease agreement with WLA</t>
  </si>
  <si>
    <t>2022 budgets were decreased to help offset other operational cost increases.</t>
  </si>
  <si>
    <t>Not budgeting Marathon Delivery Hub for 2022</t>
  </si>
  <si>
    <t>Cyber and Exec liability $7200, Property $3030, 5% of workers comp $2100, Bus service bond $780, crime $880</t>
  </si>
  <si>
    <t>Adding Cascade tool for Drupal half $1200 of 2021 and full year $2,400 for 2022</t>
  </si>
  <si>
    <t>Includes Bibliotheca support and maintenance fees charged to Bibliotheca ($20,000) of which half needs to go to ILS, and MyPC fees to members ( $8,370) which is $5,191 more than the My PC license cost and the extra will go to tech contingency. Bibliotheca will eventually be replaced by Envisionware fees charged to libraries, which will also be recorded in this account.</t>
  </si>
  <si>
    <t>adding $5,191 to Tech Carryover for extra MyPC fees</t>
  </si>
  <si>
    <t>Subtracting $3,293 from Tech Carryover for shortfall in PC Support fees</t>
  </si>
  <si>
    <t>Subtracting $3,293 from Tech Carryover for shortfall in PC Support fees and adding $5,191 to Tech Carryover for extra MyPC fees = $1,898</t>
  </si>
  <si>
    <t>Does not include MyPC. Includes $6,500 for GetIt, $1,090,876 for tech ( $1,352,304 - SCLS cont of $244,356 - $10,000 Bibliotheca - $7,072 Rio and Marshfield  Infrastructure fees = $1,090,876.)  Plus, $1,166,036 for ILS ( $1,204,769 - $6,500 for GetIt, $10,000 Bibliotheca fees - $22,233 income from Rio and Marshfield = $1,166,036).  Plus Rio and MFD income of $29,305.  Bibliotheca income is recorded in 4241.</t>
  </si>
  <si>
    <t>OverDrive $288,431
Advantage $20,000
OverDrive Magazines $21,086
Transparent Language $5,314.02
Total $334,831.02</t>
  </si>
  <si>
    <t>1/10 of 1% of SCLS 2021 state aid paid to SRLAAW for advocacy ($2,200). Madison will pay half of this. $100 for annual dues is skipped for 2022</t>
  </si>
  <si>
    <t>LSTA - Delivery PLSR Implementation</t>
  </si>
  <si>
    <t>Added $100,000 DPI LSTA grant for implementation of the delivery hub system</t>
  </si>
  <si>
    <t>Additional state aid approved for 2022 and 2023 budgets.  $2,543,429 is the new state aid for 2022, which is an increase of $343,463.  $2,749,508 is the new state aid for 2023.</t>
  </si>
  <si>
    <t>$32,000 LSTA grant funds available for July 2022-June 2023</t>
  </si>
  <si>
    <t>Restored with additional state aid</t>
  </si>
  <si>
    <t>Restored in 2022 with additional state aid. Earmark this account to not replace wireless lab in 2024 if needed.  Added $3500 to restore this budget line</t>
  </si>
  <si>
    <t>Restored $8,000. Not taking a bye year on staff computers.</t>
  </si>
  <si>
    <t>New plan effective 7/1/21.  2% increase budgeted for 7/1/22</t>
  </si>
  <si>
    <t>New Building Expenses</t>
  </si>
  <si>
    <t>Direct Benefit to Member Libraries</t>
  </si>
  <si>
    <t>Additional state aid for 2022 is $343,463.  Used $51,945 to restore consulting accounts.  Used $73,048 to balance delivery budget.  Used $32,400 to give 1% COL.  Have $186,070 left to spend. Propose $53,670 one-time to offset new building expenses. One time bonus in 2022 of 1% ($32,400). Balance ($100,000) to go toward something for libraries. Other factors to consider:  Increasing PT delivery wages to be covered by Delivery budget. All consulting staffing changes to be paid from current budget.  Looking forward to 2023, will use additional state aid to offset implementation of new delivery fee formula tbd as well as another COL for staff.</t>
  </si>
  <si>
    <t>Includes Layn as custodian. 1% salary grid increase budgeted for 2022. Includes $2,597.82 for one time 1% bonus.</t>
  </si>
  <si>
    <t>1% salary grid increase budgeted for 2022.  Some reclassifications of positions are included. Added $5,000 for LTE. Includes $3,464.43 for a one-time 1% bonus</t>
  </si>
  <si>
    <t>1% salary grid increase budgeted for 2022.  Some reclassifications of positions are included. Includes $7,014.92 for a one-time 1% bonus.</t>
  </si>
  <si>
    <t>1% salary grid increase budgeted for 2022. Includes reclassifications for 2 employees and a promotion to Coordinator for another staff person. Includes $3,147.38 for a one-time 1% bonus.</t>
  </si>
  <si>
    <t>1% salary grid increases budgeted for 2022.  Removed Mark I (retirement) and added Tracie M. Includes $1654.95 for a one-time 1% bonus.</t>
  </si>
  <si>
    <t>1%  salary grid increase budgeted for 2022. Includes $181.81 for a one-time 1% bonus.</t>
  </si>
  <si>
    <t>Includes $2166.66 to cover FICA for the one-time 1% bonus.</t>
  </si>
  <si>
    <t>Budgeting contribution rate to stay the same at 6.75% for 2022. Includes $1910.70 to cover WRS for the one-time 1% bonus.</t>
  </si>
  <si>
    <t>Hiring Layn Palmer 8 hours per week for custodial work. His hours are reflected in Admin salaries.</t>
  </si>
  <si>
    <t>New accounts for the new building and loan in 2023 to include in the budget:  1500:  SCLS Building - Fixed Asset
1501:  SCLS Building Accumulated Depreciation - Fixed Asset
2800:  BCPL Building Loan - Long Term Liability
7292:  BCPL Building Loan Interest Expense - Expense
7293:  Building Depreciation-Delivery - Expense
7658:  BCPL Building Loan Interest Expense - Expense
7659:  Building Depreciation-Admin - Expense</t>
  </si>
  <si>
    <t>Funds allocated toward the cost of the new SCLS building</t>
  </si>
  <si>
    <t>Additional 2022 state aid funds allocated toward items of direct benefit to member libraries.</t>
  </si>
  <si>
    <t xml:space="preserve"> 2022 starting amount = anticipated ending amount on 2021 mid-year budget which is 2020 audited amount plus anticipated increase in 2021</t>
  </si>
  <si>
    <t>4% increase. Added $12,760 available funds to accommodate changes from single to family insurance.</t>
  </si>
  <si>
    <t>Added $100,000 DPI LSTA grant for implementation of the delivery hub system.  Grant funds will be used to supplement Delivery salaries.</t>
  </si>
  <si>
    <t xml:space="preserve">Includes 1% salary grid increase for 2022.  Two reclassifications of positions are included and an increase of a part-time employee to full time. Adjusting the PT Driver 1 wage grid line to end at $15.00.  Includes $10,261.33 for a one-time 1% bonus. Reduced by $100,000 that will be paid for by the Delivery PLSR LSTA grant account 9114. Will be part of a mult-year plan to adjust other delivery wage lines as well.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</si>
</sst>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9" x14ac:knownFonts="1">
    <font>
      <sz val="11"/>
      <color theme="1"/>
      <name val="Calibri"/>
      <family val="2"/>
      <scheme val="minor"/>
    </font>
    <font>
      <sz val="11"/>
      <color theme="1"/>
      <name val="Calibri"/>
      <family val="2"/>
      <scheme val="minor"/>
    </font>
    <font>
      <sz val="9"/>
      <color theme="1"/>
      <name val="Calibri"/>
      <family val="2"/>
      <scheme val="minor"/>
    </font>
    <font>
      <sz val="8"/>
      <color theme="1"/>
      <name val="Calibri"/>
      <family val="2"/>
      <scheme val="minor"/>
    </font>
    <font>
      <b/>
      <sz val="9"/>
      <color indexed="81"/>
      <name val="Tahoma"/>
      <family val="2"/>
    </font>
    <font>
      <sz val="9"/>
      <color indexed="81"/>
      <name val="Tahoma"/>
      <family val="2"/>
    </font>
    <font>
      <sz val="9"/>
      <color theme="5"/>
      <name val="Calibri"/>
      <family val="2"/>
      <scheme val="minor"/>
    </font>
    <font>
      <sz val="8"/>
      <color rgb="FF1D1C1D"/>
      <name val="Arial"/>
      <family val="2"/>
    </font>
    <font>
      <sz val="9"/>
      <name val="Calibri"/>
      <family val="2"/>
      <scheme val="minor"/>
    </font>
  </fonts>
  <fills count="4">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0" fontId="2" fillId="0" borderId="0" xfId="0" applyFont="1"/>
    <xf numFmtId="0" fontId="2" fillId="0" borderId="0" xfId="0" applyFont="1" applyAlignment="1">
      <alignment wrapText="1"/>
    </xf>
    <xf numFmtId="164" fontId="2" fillId="0" borderId="0" xfId="1" applyNumberFormat="1" applyFont="1" applyAlignment="1">
      <alignment wrapText="1"/>
    </xf>
    <xf numFmtId="0" fontId="2" fillId="0" borderId="0" xfId="0" applyFont="1" applyFill="1" applyAlignment="1">
      <alignment wrapText="1"/>
    </xf>
    <xf numFmtId="164" fontId="2" fillId="0" borderId="0" xfId="1" applyNumberFormat="1" applyFont="1" applyFill="1"/>
    <xf numFmtId="164" fontId="2" fillId="0" borderId="0" xfId="1" applyNumberFormat="1" applyFont="1"/>
    <xf numFmtId="164" fontId="2" fillId="0" borderId="0" xfId="0" applyNumberFormat="1" applyFont="1" applyFill="1"/>
    <xf numFmtId="0" fontId="2" fillId="0" borderId="0" xfId="0" applyFont="1" applyAlignment="1">
      <alignment horizontal="right" wrapText="1"/>
    </xf>
    <xf numFmtId="164" fontId="2" fillId="0" borderId="0" xfId="1" applyNumberFormat="1" applyFont="1" applyFill="1" applyAlignment="1">
      <alignment wrapText="1"/>
    </xf>
    <xf numFmtId="0" fontId="2" fillId="0" borderId="0" xfId="0" applyFont="1" applyAlignment="1">
      <alignment horizontal="left" wrapText="1"/>
    </xf>
    <xf numFmtId="44" fontId="2" fillId="0" borderId="0" xfId="1" applyFont="1" applyFill="1" applyAlignment="1">
      <alignment wrapText="1"/>
    </xf>
    <xf numFmtId="44" fontId="2" fillId="0" borderId="0" xfId="0" applyNumberFormat="1" applyFont="1" applyFill="1"/>
    <xf numFmtId="44" fontId="2" fillId="0" borderId="0" xfId="1" applyFont="1" applyFill="1"/>
    <xf numFmtId="44" fontId="2" fillId="0" borderId="0" xfId="0" applyNumberFormat="1" applyFont="1" applyFill="1" applyAlignment="1">
      <alignment wrapText="1"/>
    </xf>
    <xf numFmtId="0" fontId="2" fillId="2" borderId="0" xfId="0" applyFont="1" applyFill="1" applyAlignment="1">
      <alignment wrapText="1"/>
    </xf>
    <xf numFmtId="0" fontId="3" fillId="0" borderId="0" xfId="0" applyFont="1" applyAlignment="1">
      <alignment wrapText="1"/>
    </xf>
    <xf numFmtId="0" fontId="7" fillId="0" borderId="0" xfId="0" applyFont="1" applyAlignment="1">
      <alignment wrapText="1"/>
    </xf>
    <xf numFmtId="164" fontId="3" fillId="0" borderId="0" xfId="1" applyNumberFormat="1" applyFont="1" applyAlignment="1">
      <alignment wrapText="1"/>
    </xf>
    <xf numFmtId="0" fontId="3" fillId="0" borderId="0" xfId="0" applyFont="1" applyFill="1" applyAlignment="1">
      <alignment wrapText="1"/>
    </xf>
    <xf numFmtId="0" fontId="7" fillId="2" borderId="0" xfId="0" applyFont="1" applyFill="1" applyAlignment="1">
      <alignment wrapText="1"/>
    </xf>
    <xf numFmtId="0" fontId="3" fillId="2" borderId="0" xfId="0" applyFont="1" applyFill="1" applyAlignment="1">
      <alignment wrapText="1"/>
    </xf>
    <xf numFmtId="0" fontId="2" fillId="2" borderId="0" xfId="0" applyFont="1" applyFill="1" applyAlignment="1">
      <alignment horizontal="left" wrapText="1"/>
    </xf>
    <xf numFmtId="0" fontId="3" fillId="0" borderId="0" xfId="0" applyFont="1" applyAlignment="1"/>
    <xf numFmtId="0" fontId="7" fillId="0" borderId="0" xfId="0" applyFont="1" applyAlignment="1"/>
    <xf numFmtId="164" fontId="2" fillId="3" borderId="0" xfId="1" applyNumberFormat="1" applyFont="1" applyFill="1"/>
    <xf numFmtId="0" fontId="3" fillId="3" borderId="0" xfId="0" applyFont="1" applyFill="1" applyAlignment="1">
      <alignment wrapText="1"/>
    </xf>
    <xf numFmtId="0" fontId="3" fillId="3" borderId="0" xfId="0" applyFont="1" applyFill="1" applyAlignment="1"/>
    <xf numFmtId="0" fontId="2" fillId="3" borderId="0" xfId="0" applyFont="1" applyFill="1" applyAlignment="1">
      <alignment wrapText="1"/>
    </xf>
    <xf numFmtId="0" fontId="0" fillId="0" borderId="0" xfId="0" applyFill="1"/>
    <xf numFmtId="0" fontId="3" fillId="0" borderId="0" xfId="0" applyFont="1" applyFill="1" applyAlignment="1"/>
    <xf numFmtId="164" fontId="2" fillId="3" borderId="0" xfId="1" applyNumberFormat="1" applyFont="1" applyFill="1" applyAlignment="1">
      <alignment vertical="top" wrapText="1"/>
    </xf>
    <xf numFmtId="164" fontId="2" fillId="3" borderId="0" xfId="1" applyNumberFormat="1" applyFont="1" applyFill="1" applyAlignment="1">
      <alignment wrapText="1"/>
    </xf>
    <xf numFmtId="0" fontId="2" fillId="0" borderId="0" xfId="0" applyFont="1" applyFill="1" applyAlignment="1">
      <alignment vertical="top" wrapText="1"/>
    </xf>
    <xf numFmtId="0" fontId="3" fillId="0" borderId="0" xfId="0" applyFont="1" applyAlignment="1">
      <alignmen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45"/>
  <sheetViews>
    <sheetView tabSelected="1" zoomScale="150" zoomScaleNormal="150" workbookViewId="0">
      <pane ySplit="1" topLeftCell="A152" activePane="bottomLeft" state="frozen"/>
      <selection pane="bottomLeft" activeCell="L166" sqref="L166"/>
    </sheetView>
  </sheetViews>
  <sheetFormatPr defaultRowHeight="15" x14ac:dyDescent="0.25"/>
  <cols>
    <col min="1" max="1" width="5.5703125" style="1" customWidth="1"/>
    <col min="2" max="2" width="27.7109375" style="2" customWidth="1"/>
    <col min="3" max="3" width="13.140625" style="5" hidden="1" customWidth="1"/>
    <col min="4" max="4" width="12.7109375" style="5" hidden="1" customWidth="1"/>
    <col min="5" max="8" width="13.140625" style="5" hidden="1" customWidth="1"/>
    <col min="9" max="11" width="13.140625" style="5" customWidth="1"/>
    <col min="12" max="12" width="19.140625" style="5" customWidth="1"/>
    <col min="13" max="13" width="14.5703125" style="6" customWidth="1"/>
    <col min="14" max="14" width="37.28515625" style="4" customWidth="1"/>
    <col min="15" max="15" width="32.5703125" style="23" customWidth="1"/>
  </cols>
  <sheetData>
    <row r="1" spans="1:15" ht="24.75" x14ac:dyDescent="0.25">
      <c r="A1" s="1" t="s">
        <v>0</v>
      </c>
      <c r="B1" s="2" t="s">
        <v>1</v>
      </c>
      <c r="C1" s="9" t="s">
        <v>161</v>
      </c>
      <c r="D1" s="9" t="s">
        <v>170</v>
      </c>
      <c r="E1" s="9" t="s">
        <v>169</v>
      </c>
      <c r="F1" s="9" t="s">
        <v>196</v>
      </c>
      <c r="G1" s="9" t="s">
        <v>188</v>
      </c>
      <c r="H1" s="9" t="s">
        <v>205</v>
      </c>
      <c r="I1" s="9" t="s">
        <v>206</v>
      </c>
      <c r="J1" s="9" t="s">
        <v>258</v>
      </c>
      <c r="K1" s="9" t="s">
        <v>261</v>
      </c>
      <c r="L1" s="9" t="s">
        <v>257</v>
      </c>
      <c r="M1" s="3" t="s">
        <v>259</v>
      </c>
      <c r="N1" s="4" t="s">
        <v>277</v>
      </c>
      <c r="O1" s="18" t="s">
        <v>260</v>
      </c>
    </row>
    <row r="2" spans="1:15" x14ac:dyDescent="0.25">
      <c r="B2" s="2" t="s">
        <v>2</v>
      </c>
    </row>
    <row r="3" spans="1:15" ht="24.75" x14ac:dyDescent="0.25">
      <c r="B3" s="2" t="s">
        <v>3</v>
      </c>
      <c r="N3" s="15" t="s">
        <v>280</v>
      </c>
    </row>
    <row r="4" spans="1:15" ht="65.25" customHeight="1" x14ac:dyDescent="0.25">
      <c r="A4" s="1">
        <v>4010</v>
      </c>
      <c r="B4" s="2" t="s">
        <v>4</v>
      </c>
      <c r="C4" s="5">
        <v>2131274</v>
      </c>
      <c r="D4" s="5">
        <f>C4</f>
        <v>2131274</v>
      </c>
      <c r="E4" s="5">
        <v>2199966</v>
      </c>
      <c r="F4" s="5">
        <v>2199966</v>
      </c>
      <c r="G4" s="5">
        <v>2199966</v>
      </c>
      <c r="H4" s="5">
        <v>2199966</v>
      </c>
      <c r="I4" s="5">
        <v>2199966</v>
      </c>
      <c r="J4" s="5">
        <v>2199966</v>
      </c>
      <c r="K4" s="5">
        <f>J4-I4</f>
        <v>0</v>
      </c>
      <c r="L4" s="25">
        <v>2543429</v>
      </c>
      <c r="M4" s="5">
        <f>L4-J4</f>
        <v>343463</v>
      </c>
      <c r="N4" s="4" t="s">
        <v>210</v>
      </c>
      <c r="O4" s="26" t="s">
        <v>322</v>
      </c>
    </row>
    <row r="5" spans="1:15" ht="72.75" x14ac:dyDescent="0.25">
      <c r="A5" s="2">
        <v>4030</v>
      </c>
      <c r="B5" s="2" t="s">
        <v>5</v>
      </c>
      <c r="C5" s="5">
        <v>13000</v>
      </c>
      <c r="D5" s="5">
        <f t="shared" ref="D5:D6" si="0">C5</f>
        <v>13000</v>
      </c>
      <c r="E5" s="5">
        <v>24800</v>
      </c>
      <c r="F5" s="5">
        <v>26000</v>
      </c>
      <c r="G5" s="5">
        <v>26200</v>
      </c>
      <c r="H5" s="5">
        <v>26200</v>
      </c>
      <c r="I5" s="5">
        <v>20000</v>
      </c>
      <c r="J5" s="5">
        <v>20000</v>
      </c>
      <c r="K5" s="5">
        <f t="shared" ref="K5:K69" si="1">J5-I5</f>
        <v>0</v>
      </c>
      <c r="L5" s="5">
        <v>5000</v>
      </c>
      <c r="M5" s="5">
        <f t="shared" ref="M5:M53" si="2">L5-J5</f>
        <v>-15000</v>
      </c>
      <c r="N5" s="4" t="s">
        <v>211</v>
      </c>
      <c r="O5" s="16" t="s">
        <v>303</v>
      </c>
    </row>
    <row r="6" spans="1:15" ht="24.75" x14ac:dyDescent="0.25">
      <c r="A6" s="8">
        <v>4040</v>
      </c>
      <c r="B6" s="2" t="s">
        <v>6</v>
      </c>
      <c r="C6" s="5">
        <v>0</v>
      </c>
      <c r="D6" s="5">
        <f t="shared" si="0"/>
        <v>0</v>
      </c>
      <c r="E6" s="5">
        <v>1200</v>
      </c>
      <c r="F6" s="5">
        <v>0</v>
      </c>
      <c r="G6" s="5">
        <v>0</v>
      </c>
      <c r="H6" s="5">
        <v>0</v>
      </c>
      <c r="I6" s="5">
        <v>0</v>
      </c>
      <c r="J6" s="5">
        <v>0</v>
      </c>
      <c r="K6" s="5">
        <f t="shared" si="1"/>
        <v>0</v>
      </c>
      <c r="L6" s="5">
        <v>0</v>
      </c>
      <c r="M6" s="5">
        <f t="shared" si="2"/>
        <v>0</v>
      </c>
      <c r="N6" s="4" t="s">
        <v>189</v>
      </c>
    </row>
    <row r="7" spans="1:15" ht="36.75" x14ac:dyDescent="0.25">
      <c r="A7" s="8">
        <v>4041</v>
      </c>
      <c r="B7" s="2" t="s">
        <v>176</v>
      </c>
      <c r="C7" s="5">
        <v>35000</v>
      </c>
      <c r="D7" s="5">
        <f>C7</f>
        <v>35000</v>
      </c>
      <c r="E7" s="5">
        <v>35000</v>
      </c>
      <c r="F7" s="5">
        <v>35000</v>
      </c>
      <c r="G7" s="5">
        <v>43000</v>
      </c>
      <c r="H7" s="5">
        <v>43000</v>
      </c>
      <c r="I7" s="5">
        <v>40529</v>
      </c>
      <c r="J7" s="5">
        <v>42329</v>
      </c>
      <c r="K7" s="5">
        <f t="shared" si="1"/>
        <v>1800</v>
      </c>
      <c r="L7" s="5">
        <v>39480</v>
      </c>
      <c r="M7" s="5">
        <f t="shared" si="2"/>
        <v>-2849</v>
      </c>
      <c r="N7" s="15" t="s">
        <v>281</v>
      </c>
      <c r="O7" s="16" t="s">
        <v>304</v>
      </c>
    </row>
    <row r="8" spans="1:15" x14ac:dyDescent="0.25">
      <c r="A8" s="8">
        <v>4042</v>
      </c>
      <c r="B8" s="2" t="s">
        <v>177</v>
      </c>
      <c r="E8" s="5">
        <v>8500</v>
      </c>
      <c r="F8" s="5">
        <v>8500</v>
      </c>
      <c r="G8" s="5">
        <v>14700</v>
      </c>
      <c r="H8" s="5">
        <v>0</v>
      </c>
      <c r="I8" s="5">
        <v>0</v>
      </c>
      <c r="J8" s="5">
        <v>0</v>
      </c>
      <c r="K8" s="5">
        <f t="shared" si="1"/>
        <v>0</v>
      </c>
      <c r="L8" s="5">
        <v>0</v>
      </c>
      <c r="M8" s="5">
        <f t="shared" si="2"/>
        <v>0</v>
      </c>
      <c r="N8" s="4" t="s">
        <v>212</v>
      </c>
    </row>
    <row r="9" spans="1:15" ht="85.5" customHeight="1" x14ac:dyDescent="0.25">
      <c r="A9" s="2">
        <v>4050</v>
      </c>
      <c r="B9" s="2" t="s">
        <v>7</v>
      </c>
      <c r="C9" s="5">
        <f>993323.32-30000-12000-3900-4000-250-2500-12000-16000</f>
        <v>912673.32</v>
      </c>
      <c r="D9" s="5">
        <v>1013190.3</v>
      </c>
      <c r="E9" s="5">
        <f>D9-60000-5000-560-6000</f>
        <v>941630.3</v>
      </c>
      <c r="F9" s="5">
        <v>956824.09</v>
      </c>
      <c r="G9" s="5">
        <v>830037</v>
      </c>
      <c r="H9" s="5">
        <v>956824.06</v>
      </c>
      <c r="I9" s="5">
        <v>850639</v>
      </c>
      <c r="J9" s="5">
        <v>889596.29</v>
      </c>
      <c r="K9" s="5">
        <f t="shared" si="1"/>
        <v>38957.290000000037</v>
      </c>
      <c r="L9" s="5">
        <v>797916.29</v>
      </c>
      <c r="M9" s="5">
        <f t="shared" si="2"/>
        <v>-91680</v>
      </c>
      <c r="N9" s="15" t="s">
        <v>287</v>
      </c>
      <c r="O9" s="16" t="s">
        <v>282</v>
      </c>
    </row>
    <row r="10" spans="1:15" ht="30" customHeight="1" x14ac:dyDescent="0.25">
      <c r="A10" s="2">
        <v>4060</v>
      </c>
      <c r="B10" s="2" t="s">
        <v>178</v>
      </c>
      <c r="M10" s="5">
        <f t="shared" si="2"/>
        <v>0</v>
      </c>
    </row>
    <row r="11" spans="1:15" x14ac:dyDescent="0.25">
      <c r="A11" s="2">
        <v>4120</v>
      </c>
      <c r="B11" s="2" t="s">
        <v>8</v>
      </c>
      <c r="C11" s="5">
        <v>389392</v>
      </c>
      <c r="D11" s="5">
        <f>C11</f>
        <v>389392</v>
      </c>
      <c r="E11" s="5">
        <v>393290</v>
      </c>
      <c r="F11" s="5">
        <v>393290</v>
      </c>
      <c r="G11" s="5">
        <v>397235</v>
      </c>
      <c r="H11" s="5">
        <f>397235-15456</f>
        <v>381779</v>
      </c>
      <c r="I11" s="5">
        <v>393290</v>
      </c>
      <c r="J11" s="5">
        <v>393290</v>
      </c>
      <c r="K11" s="5">
        <f t="shared" si="1"/>
        <v>0</v>
      </c>
      <c r="L11" s="5">
        <v>397826</v>
      </c>
      <c r="M11" s="5">
        <f t="shared" si="2"/>
        <v>4536</v>
      </c>
      <c r="N11" s="4" t="s">
        <v>238</v>
      </c>
      <c r="O11" s="23" t="s">
        <v>306</v>
      </c>
    </row>
    <row r="12" spans="1:15" x14ac:dyDescent="0.25">
      <c r="A12" s="2">
        <v>4130</v>
      </c>
      <c r="B12" s="2" t="s">
        <v>9</v>
      </c>
      <c r="C12" s="5">
        <v>12000</v>
      </c>
      <c r="D12" s="5">
        <f t="shared" ref="D12:D18" si="3">C12</f>
        <v>12000</v>
      </c>
      <c r="E12" s="5">
        <v>12000</v>
      </c>
      <c r="F12" s="5">
        <v>12000</v>
      </c>
      <c r="G12" s="5">
        <v>12000</v>
      </c>
      <c r="H12" s="5">
        <f>12000-6000</f>
        <v>6000</v>
      </c>
      <c r="I12" s="5">
        <v>11000</v>
      </c>
      <c r="J12" s="5">
        <v>11000</v>
      </c>
      <c r="K12" s="5">
        <f t="shared" si="1"/>
        <v>0</v>
      </c>
      <c r="L12" s="5">
        <v>10000</v>
      </c>
      <c r="M12" s="5">
        <f t="shared" si="2"/>
        <v>-1000</v>
      </c>
    </row>
    <row r="13" spans="1:15" ht="27.75" customHeight="1" x14ac:dyDescent="0.25">
      <c r="A13" s="2">
        <v>4150</v>
      </c>
      <c r="B13" s="10" t="s">
        <v>10</v>
      </c>
      <c r="C13" s="5">
        <v>5500</v>
      </c>
      <c r="D13" s="5">
        <f t="shared" si="3"/>
        <v>5500</v>
      </c>
      <c r="E13" s="5">
        <v>7500</v>
      </c>
      <c r="F13" s="5">
        <v>7500</v>
      </c>
      <c r="G13" s="5">
        <v>7500</v>
      </c>
      <c r="H13" s="5">
        <v>8178.99</v>
      </c>
      <c r="I13" s="5">
        <v>8000</v>
      </c>
      <c r="J13" s="5">
        <v>8000</v>
      </c>
      <c r="K13" s="5">
        <f t="shared" si="1"/>
        <v>0</v>
      </c>
      <c r="L13" s="5">
        <v>10500</v>
      </c>
      <c r="M13" s="5">
        <f t="shared" si="2"/>
        <v>2500</v>
      </c>
    </row>
    <row r="14" spans="1:15" ht="24.75" x14ac:dyDescent="0.25">
      <c r="A14" s="2">
        <v>4170</v>
      </c>
      <c r="B14" s="2" t="s">
        <v>11</v>
      </c>
      <c r="C14" s="5">
        <v>1220557</v>
      </c>
      <c r="D14" s="5">
        <f t="shared" si="3"/>
        <v>1220557</v>
      </c>
      <c r="E14" s="5">
        <f>1223597+4422</f>
        <v>1228019</v>
      </c>
      <c r="F14" s="5">
        <f>1223597+4422</f>
        <v>1228019</v>
      </c>
      <c r="G14" s="5">
        <f>1238791-4444</f>
        <v>1234347</v>
      </c>
      <c r="H14" s="5">
        <f>1238791-4444-40341</f>
        <v>1194006</v>
      </c>
      <c r="I14" s="5">
        <v>1227635</v>
      </c>
      <c r="J14" s="5">
        <v>1227635</v>
      </c>
      <c r="K14" s="5">
        <f t="shared" si="1"/>
        <v>0</v>
      </c>
      <c r="L14" s="5">
        <v>1088761</v>
      </c>
      <c r="M14" s="5">
        <f t="shared" si="2"/>
        <v>-138874</v>
      </c>
      <c r="N14" s="4" t="s">
        <v>239</v>
      </c>
      <c r="O14" s="23" t="s">
        <v>307</v>
      </c>
    </row>
    <row r="15" spans="1:15" ht="27" customHeight="1" x14ac:dyDescent="0.25">
      <c r="A15" s="2">
        <v>4180</v>
      </c>
      <c r="B15" s="2" t="s">
        <v>12</v>
      </c>
      <c r="C15" s="5">
        <v>20000</v>
      </c>
      <c r="D15" s="5">
        <f t="shared" si="3"/>
        <v>20000</v>
      </c>
      <c r="E15" s="5">
        <v>20000</v>
      </c>
      <c r="F15" s="5">
        <v>20000</v>
      </c>
      <c r="G15" s="5">
        <v>20000</v>
      </c>
      <c r="H15" s="5">
        <v>20000</v>
      </c>
      <c r="I15" s="5">
        <v>12000</v>
      </c>
      <c r="J15" s="5">
        <v>12000</v>
      </c>
      <c r="K15" s="5">
        <f t="shared" si="1"/>
        <v>0</v>
      </c>
      <c r="L15" s="5">
        <v>10000</v>
      </c>
      <c r="M15" s="5">
        <f t="shared" si="2"/>
        <v>-2000</v>
      </c>
    </row>
    <row r="16" spans="1:15" ht="60.75" x14ac:dyDescent="0.25">
      <c r="A16" s="2">
        <v>4220</v>
      </c>
      <c r="B16" s="2" t="s">
        <v>13</v>
      </c>
      <c r="C16" s="5">
        <v>26341.75</v>
      </c>
      <c r="D16" s="5">
        <f t="shared" si="3"/>
        <v>26341.75</v>
      </c>
      <c r="E16" s="5">
        <v>27395.42</v>
      </c>
      <c r="F16" s="5">
        <v>27395.42</v>
      </c>
      <c r="G16" s="5">
        <v>28491.24</v>
      </c>
      <c r="H16" s="5">
        <v>18520.5</v>
      </c>
      <c r="I16" s="5">
        <f>29630.89-2398.14-4235</f>
        <v>22997.75</v>
      </c>
      <c r="J16" s="5">
        <f>29630.89-2398.14-4235</f>
        <v>22997.75</v>
      </c>
      <c r="K16" s="5">
        <f t="shared" si="1"/>
        <v>0</v>
      </c>
      <c r="L16" s="5">
        <v>23607.65</v>
      </c>
      <c r="M16" s="5">
        <f t="shared" si="2"/>
        <v>609.90000000000146</v>
      </c>
      <c r="N16" s="4" t="s">
        <v>254</v>
      </c>
      <c r="O16" s="23" t="s">
        <v>308</v>
      </c>
    </row>
    <row r="17" spans="1:15" ht="113.25" customHeight="1" x14ac:dyDescent="0.25">
      <c r="A17" s="2">
        <v>4241</v>
      </c>
      <c r="B17" s="2" t="s">
        <v>175</v>
      </c>
      <c r="C17" s="5">
        <v>126381.52</v>
      </c>
      <c r="D17" s="5">
        <f t="shared" si="3"/>
        <v>126381.52</v>
      </c>
      <c r="E17" s="5">
        <v>118602.6</v>
      </c>
      <c r="F17" s="5">
        <v>118602.6</v>
      </c>
      <c r="G17" s="5">
        <v>131549</v>
      </c>
      <c r="H17" s="5">
        <v>131549</v>
      </c>
      <c r="I17" s="5">
        <v>28325</v>
      </c>
      <c r="J17" s="5">
        <v>28325</v>
      </c>
      <c r="K17" s="5">
        <f t="shared" si="1"/>
        <v>0</v>
      </c>
      <c r="L17" s="5">
        <v>28370</v>
      </c>
      <c r="M17" s="5">
        <f t="shared" si="2"/>
        <v>45</v>
      </c>
      <c r="N17" s="4" t="s">
        <v>242</v>
      </c>
      <c r="O17" s="16" t="s">
        <v>313</v>
      </c>
    </row>
    <row r="18" spans="1:15" ht="146.25" customHeight="1" x14ac:dyDescent="0.25">
      <c r="A18" s="2">
        <v>4242</v>
      </c>
      <c r="B18" s="2" t="s">
        <v>14</v>
      </c>
      <c r="C18" s="5">
        <v>2164217</v>
      </c>
      <c r="D18" s="5">
        <f t="shared" si="3"/>
        <v>2164217</v>
      </c>
      <c r="E18" s="5">
        <f>1128093+1266080-244356+2240</f>
        <v>2152057</v>
      </c>
      <c r="F18" s="5">
        <f>1128093+1266080-244356+2240</f>
        <v>2152057</v>
      </c>
      <c r="G18" s="5">
        <v>2155791.6</v>
      </c>
      <c r="H18" s="5">
        <v>2155791.6</v>
      </c>
      <c r="I18" s="5">
        <v>2203936</v>
      </c>
      <c r="J18" s="5">
        <v>2203936</v>
      </c>
      <c r="K18" s="5">
        <f t="shared" si="1"/>
        <v>0</v>
      </c>
      <c r="L18" s="5">
        <f>6500+1090876+1166036+29305</f>
        <v>2292717</v>
      </c>
      <c r="M18" s="5">
        <f t="shared" si="2"/>
        <v>88781</v>
      </c>
      <c r="N18" s="4" t="s">
        <v>253</v>
      </c>
      <c r="O18" s="16" t="s">
        <v>317</v>
      </c>
    </row>
    <row r="19" spans="1:15" ht="37.5" customHeight="1" x14ac:dyDescent="0.25">
      <c r="A19" s="2">
        <v>4243</v>
      </c>
      <c r="B19" s="2" t="s">
        <v>197</v>
      </c>
      <c r="F19" s="5">
        <v>135000</v>
      </c>
      <c r="K19" s="5">
        <f t="shared" si="1"/>
        <v>0</v>
      </c>
      <c r="L19" s="5">
        <v>0</v>
      </c>
      <c r="M19" s="5">
        <f t="shared" si="2"/>
        <v>0</v>
      </c>
    </row>
    <row r="20" spans="1:15" ht="63.6" customHeight="1" x14ac:dyDescent="0.25">
      <c r="A20" s="2">
        <v>4245</v>
      </c>
      <c r="B20" s="2" t="s">
        <v>15</v>
      </c>
      <c r="C20" s="5">
        <v>560382.94999999995</v>
      </c>
      <c r="D20" s="5">
        <v>685692.95</v>
      </c>
      <c r="E20" s="5">
        <v>704178.95</v>
      </c>
      <c r="F20" s="5">
        <v>818864.08</v>
      </c>
      <c r="G20" s="5">
        <v>826145.08</v>
      </c>
      <c r="H20" s="5">
        <v>585471.03</v>
      </c>
      <c r="I20" s="5">
        <f>585471.03+4996</f>
        <v>590467.03</v>
      </c>
      <c r="J20" s="5">
        <v>694349.61</v>
      </c>
      <c r="K20" s="5">
        <f t="shared" si="1"/>
        <v>103882.57999999996</v>
      </c>
      <c r="L20" s="5">
        <v>707109.61</v>
      </c>
      <c r="M20" s="5">
        <f t="shared" si="2"/>
        <v>12760</v>
      </c>
      <c r="N20" s="15" t="s">
        <v>286</v>
      </c>
      <c r="O20" s="16" t="s">
        <v>343</v>
      </c>
    </row>
    <row r="21" spans="1:15" ht="48.75" x14ac:dyDescent="0.25">
      <c r="A21" s="2">
        <v>4270</v>
      </c>
      <c r="B21" s="2" t="s">
        <v>17</v>
      </c>
      <c r="C21" s="5">
        <f>478650.28-20000</f>
        <v>458650.28</v>
      </c>
      <c r="D21" s="5">
        <v>410162.28</v>
      </c>
      <c r="E21" s="5">
        <v>400162.28</v>
      </c>
      <c r="F21" s="5">
        <v>420962.99</v>
      </c>
      <c r="G21" s="5">
        <v>420962.99</v>
      </c>
      <c r="H21" s="5">
        <v>431974.02</v>
      </c>
      <c r="I21" s="5">
        <v>431974.02</v>
      </c>
      <c r="J21" s="5">
        <v>383824.08</v>
      </c>
      <c r="K21" s="5">
        <f t="shared" si="1"/>
        <v>-48149.94</v>
      </c>
      <c r="L21" s="5">
        <v>383824.08</v>
      </c>
      <c r="M21" s="5">
        <f t="shared" si="2"/>
        <v>0</v>
      </c>
      <c r="N21" s="15" t="s">
        <v>285</v>
      </c>
    </row>
    <row r="22" spans="1:15" x14ac:dyDescent="0.25">
      <c r="A22" s="2">
        <v>4280</v>
      </c>
      <c r="B22" s="2" t="s">
        <v>18</v>
      </c>
      <c r="C22" s="5">
        <v>0</v>
      </c>
      <c r="E22" s="5">
        <v>0</v>
      </c>
      <c r="F22" s="5">
        <v>0</v>
      </c>
      <c r="G22" s="5">
        <v>0</v>
      </c>
      <c r="H22" s="5">
        <v>0</v>
      </c>
      <c r="I22" s="5">
        <v>0</v>
      </c>
      <c r="K22" s="5">
        <f t="shared" si="1"/>
        <v>0</v>
      </c>
      <c r="L22" s="5">
        <v>0</v>
      </c>
      <c r="M22" s="5">
        <f t="shared" si="2"/>
        <v>0</v>
      </c>
    </row>
    <row r="23" spans="1:15" x14ac:dyDescent="0.25">
      <c r="A23" s="2"/>
      <c r="B23" s="2" t="s">
        <v>19</v>
      </c>
      <c r="K23" s="5">
        <f t="shared" si="1"/>
        <v>0</v>
      </c>
      <c r="M23" s="5">
        <f t="shared" si="2"/>
        <v>0</v>
      </c>
    </row>
    <row r="24" spans="1:15" x14ac:dyDescent="0.25">
      <c r="A24" s="2"/>
      <c r="B24" s="2" t="s">
        <v>20</v>
      </c>
      <c r="K24" s="5">
        <f t="shared" si="1"/>
        <v>0</v>
      </c>
      <c r="M24" s="5">
        <f t="shared" si="2"/>
        <v>0</v>
      </c>
    </row>
    <row r="25" spans="1:15" ht="24.75" x14ac:dyDescent="0.25">
      <c r="A25" s="2"/>
      <c r="B25" s="2" t="s">
        <v>21</v>
      </c>
      <c r="K25" s="5">
        <f t="shared" si="1"/>
        <v>0</v>
      </c>
      <c r="M25" s="5">
        <f t="shared" si="2"/>
        <v>0</v>
      </c>
    </row>
    <row r="26" spans="1:15" x14ac:dyDescent="0.25">
      <c r="B26" s="2" t="s">
        <v>22</v>
      </c>
      <c r="K26" s="5">
        <f t="shared" si="1"/>
        <v>0</v>
      </c>
      <c r="M26" s="5">
        <f t="shared" si="2"/>
        <v>0</v>
      </c>
    </row>
    <row r="27" spans="1:15" x14ac:dyDescent="0.25">
      <c r="B27" s="2" t="s">
        <v>23</v>
      </c>
      <c r="K27" s="5">
        <f t="shared" si="1"/>
        <v>0</v>
      </c>
      <c r="M27" s="5">
        <f t="shared" si="2"/>
        <v>0</v>
      </c>
    </row>
    <row r="28" spans="1:15" x14ac:dyDescent="0.25">
      <c r="B28" s="2" t="s">
        <v>24</v>
      </c>
      <c r="K28" s="5">
        <f t="shared" si="1"/>
        <v>0</v>
      </c>
      <c r="M28" s="5">
        <f t="shared" si="2"/>
        <v>0</v>
      </c>
    </row>
    <row r="29" spans="1:15" ht="36.75" x14ac:dyDescent="0.25">
      <c r="A29" s="1">
        <v>4290</v>
      </c>
      <c r="B29" s="2" t="s">
        <v>25</v>
      </c>
      <c r="C29" s="5">
        <v>9500</v>
      </c>
      <c r="D29" s="5">
        <f>C29</f>
        <v>9500</v>
      </c>
      <c r="E29" s="5">
        <v>13000</v>
      </c>
      <c r="F29" s="5">
        <v>13000</v>
      </c>
      <c r="G29" s="5">
        <v>15000</v>
      </c>
      <c r="H29" s="5">
        <v>15000</v>
      </c>
      <c r="I29" s="5">
        <v>20000</v>
      </c>
      <c r="J29" s="5">
        <v>30000</v>
      </c>
      <c r="K29" s="5">
        <f t="shared" si="1"/>
        <v>10000</v>
      </c>
      <c r="L29" s="5">
        <v>30000</v>
      </c>
      <c r="M29" s="5">
        <f t="shared" si="2"/>
        <v>0</v>
      </c>
      <c r="N29" s="15" t="s">
        <v>283</v>
      </c>
      <c r="O29" s="23" t="s">
        <v>266</v>
      </c>
    </row>
    <row r="30" spans="1:15" x14ac:dyDescent="0.25">
      <c r="A30" s="1">
        <v>4405</v>
      </c>
      <c r="B30" s="10" t="s">
        <v>165</v>
      </c>
      <c r="D30" s="5">
        <f t="shared" ref="D30:D37" si="4">C30</f>
        <v>0</v>
      </c>
      <c r="E30" s="5">
        <v>0</v>
      </c>
      <c r="F30" s="5">
        <v>0</v>
      </c>
      <c r="G30" s="5">
        <v>0</v>
      </c>
      <c r="H30" s="5">
        <v>0</v>
      </c>
      <c r="I30" s="5">
        <v>0</v>
      </c>
      <c r="K30" s="5">
        <f t="shared" si="1"/>
        <v>0</v>
      </c>
      <c r="L30" s="5">
        <v>0</v>
      </c>
      <c r="M30" s="5">
        <f t="shared" si="2"/>
        <v>0</v>
      </c>
    </row>
    <row r="31" spans="1:15" x14ac:dyDescent="0.25">
      <c r="A31" s="1">
        <v>9102</v>
      </c>
      <c r="B31" s="2" t="s">
        <v>26</v>
      </c>
      <c r="C31" s="5">
        <v>0</v>
      </c>
      <c r="D31" s="5">
        <f t="shared" si="4"/>
        <v>0</v>
      </c>
      <c r="E31" s="5">
        <v>0</v>
      </c>
      <c r="F31" s="5">
        <v>0</v>
      </c>
      <c r="K31" s="5">
        <f t="shared" si="1"/>
        <v>0</v>
      </c>
      <c r="M31" s="5">
        <f t="shared" si="2"/>
        <v>0</v>
      </c>
    </row>
    <row r="32" spans="1:15" x14ac:dyDescent="0.25">
      <c r="A32" s="1">
        <v>9113</v>
      </c>
      <c r="B32" s="2" t="s">
        <v>27</v>
      </c>
      <c r="C32" s="5">
        <v>75000</v>
      </c>
      <c r="D32" s="5">
        <f t="shared" si="4"/>
        <v>75000</v>
      </c>
      <c r="E32" s="5">
        <v>75000</v>
      </c>
      <c r="F32" s="5">
        <v>75000</v>
      </c>
      <c r="G32" s="5">
        <v>75000</v>
      </c>
      <c r="H32" s="5">
        <v>75000</v>
      </c>
      <c r="I32" s="5">
        <v>75000</v>
      </c>
      <c r="J32" s="5">
        <v>75000</v>
      </c>
      <c r="K32" s="5">
        <f t="shared" si="1"/>
        <v>0</v>
      </c>
      <c r="L32" s="25">
        <v>75000</v>
      </c>
      <c r="M32" s="5">
        <f t="shared" si="2"/>
        <v>0</v>
      </c>
    </row>
    <row r="33" spans="1:15" ht="23.25" x14ac:dyDescent="0.25">
      <c r="B33" s="2" t="s">
        <v>320</v>
      </c>
      <c r="L33" s="25">
        <v>100000</v>
      </c>
      <c r="M33" s="5"/>
      <c r="O33" s="26" t="s">
        <v>321</v>
      </c>
    </row>
    <row r="34" spans="1:15" x14ac:dyDescent="0.25">
      <c r="A34" s="1">
        <v>9120</v>
      </c>
      <c r="B34" s="2" t="s">
        <v>28</v>
      </c>
      <c r="C34" s="5">
        <v>0</v>
      </c>
      <c r="D34" s="5">
        <f t="shared" si="4"/>
        <v>0</v>
      </c>
      <c r="E34" s="5">
        <v>0</v>
      </c>
      <c r="F34" s="5">
        <v>0</v>
      </c>
      <c r="K34" s="5">
        <f t="shared" si="1"/>
        <v>0</v>
      </c>
      <c r="M34" s="5">
        <f t="shared" si="2"/>
        <v>0</v>
      </c>
    </row>
    <row r="35" spans="1:15" ht="24.75" x14ac:dyDescent="0.25">
      <c r="A35" s="1">
        <v>9125</v>
      </c>
      <c r="B35" s="2" t="s">
        <v>166</v>
      </c>
      <c r="D35" s="5">
        <f t="shared" si="4"/>
        <v>0</v>
      </c>
      <c r="E35" s="5">
        <v>0</v>
      </c>
      <c r="F35" s="5">
        <v>0</v>
      </c>
      <c r="K35" s="5">
        <f t="shared" si="1"/>
        <v>0</v>
      </c>
      <c r="M35" s="5">
        <f t="shared" si="2"/>
        <v>0</v>
      </c>
    </row>
    <row r="36" spans="1:15" x14ac:dyDescent="0.25">
      <c r="B36" s="2" t="s">
        <v>179</v>
      </c>
      <c r="D36" s="5">
        <f t="shared" si="4"/>
        <v>0</v>
      </c>
      <c r="E36" s="5">
        <v>0</v>
      </c>
      <c r="F36" s="5">
        <v>0</v>
      </c>
      <c r="K36" s="5">
        <f t="shared" si="1"/>
        <v>0</v>
      </c>
      <c r="M36" s="5">
        <f t="shared" si="2"/>
        <v>0</v>
      </c>
    </row>
    <row r="37" spans="1:15" ht="24.75" x14ac:dyDescent="0.25">
      <c r="A37" s="2">
        <v>9140</v>
      </c>
      <c r="B37" s="2" t="s">
        <v>29</v>
      </c>
      <c r="C37" s="5">
        <v>0</v>
      </c>
      <c r="D37" s="5">
        <f t="shared" si="4"/>
        <v>0</v>
      </c>
      <c r="E37" s="5">
        <v>0</v>
      </c>
      <c r="F37" s="5">
        <v>0</v>
      </c>
      <c r="K37" s="5">
        <f t="shared" si="1"/>
        <v>0</v>
      </c>
      <c r="M37" s="5">
        <f t="shared" si="2"/>
        <v>0</v>
      </c>
    </row>
    <row r="38" spans="1:15" x14ac:dyDescent="0.25">
      <c r="A38" s="2">
        <v>9145</v>
      </c>
      <c r="B38" s="2" t="s">
        <v>185</v>
      </c>
      <c r="D38" s="5">
        <v>40000</v>
      </c>
      <c r="E38" s="5">
        <v>0</v>
      </c>
      <c r="F38" s="5">
        <v>0</v>
      </c>
      <c r="K38" s="5">
        <f t="shared" si="1"/>
        <v>0</v>
      </c>
      <c r="M38" s="5">
        <f t="shared" si="2"/>
        <v>0</v>
      </c>
    </row>
    <row r="39" spans="1:15" x14ac:dyDescent="0.25">
      <c r="A39" s="2">
        <v>9152</v>
      </c>
      <c r="B39" s="2" t="s">
        <v>269</v>
      </c>
      <c r="J39" s="5">
        <v>5356.09</v>
      </c>
      <c r="K39" s="5">
        <f t="shared" si="1"/>
        <v>5356.09</v>
      </c>
      <c r="M39" s="5">
        <f t="shared" si="2"/>
        <v>-5356.09</v>
      </c>
      <c r="N39" s="20" t="s">
        <v>275</v>
      </c>
      <c r="O39" s="16"/>
    </row>
    <row r="40" spans="1:15" x14ac:dyDescent="0.25">
      <c r="A40" s="2">
        <v>9156</v>
      </c>
      <c r="B40" s="2" t="s">
        <v>173</v>
      </c>
      <c r="D40" s="5">
        <v>3159</v>
      </c>
      <c r="E40" s="5">
        <v>2004</v>
      </c>
      <c r="F40" s="5">
        <v>2004</v>
      </c>
      <c r="K40" s="5">
        <f t="shared" si="1"/>
        <v>0</v>
      </c>
      <c r="M40" s="5">
        <f t="shared" si="2"/>
        <v>0</v>
      </c>
    </row>
    <row r="41" spans="1:15" x14ac:dyDescent="0.25">
      <c r="A41" s="2">
        <v>9158</v>
      </c>
      <c r="B41" s="2" t="s">
        <v>198</v>
      </c>
      <c r="F41" s="5">
        <v>60000</v>
      </c>
      <c r="K41" s="5">
        <f t="shared" si="1"/>
        <v>0</v>
      </c>
      <c r="M41" s="5">
        <f t="shared" si="2"/>
        <v>0</v>
      </c>
    </row>
    <row r="42" spans="1:15" x14ac:dyDescent="0.25">
      <c r="A42" s="2">
        <v>9160</v>
      </c>
      <c r="B42" s="2" t="s">
        <v>30</v>
      </c>
      <c r="C42" s="5">
        <v>0</v>
      </c>
      <c r="D42" s="5">
        <f>C42</f>
        <v>0</v>
      </c>
      <c r="E42" s="5">
        <v>0</v>
      </c>
      <c r="F42" s="5">
        <v>0</v>
      </c>
      <c r="K42" s="5">
        <f t="shared" si="1"/>
        <v>0</v>
      </c>
      <c r="M42" s="5">
        <f t="shared" si="2"/>
        <v>0</v>
      </c>
    </row>
    <row r="43" spans="1:15" x14ac:dyDescent="0.25">
      <c r="A43" s="2">
        <v>9165</v>
      </c>
      <c r="B43" s="2" t="s">
        <v>199</v>
      </c>
      <c r="F43" s="9">
        <v>399500</v>
      </c>
      <c r="K43" s="5">
        <f t="shared" si="1"/>
        <v>0</v>
      </c>
      <c r="M43" s="5">
        <f t="shared" si="2"/>
        <v>0</v>
      </c>
    </row>
    <row r="44" spans="1:15" ht="108.75" x14ac:dyDescent="0.25">
      <c r="A44" s="2">
        <v>9170</v>
      </c>
      <c r="B44" s="2" t="s">
        <v>31</v>
      </c>
      <c r="C44" s="5">
        <f>254149+22165</f>
        <v>276314</v>
      </c>
      <c r="D44" s="5">
        <f>C44</f>
        <v>276314</v>
      </c>
      <c r="E44" s="5">
        <v>283288</v>
      </c>
      <c r="F44" s="7">
        <v>283288</v>
      </c>
      <c r="G44" s="5">
        <v>277867</v>
      </c>
      <c r="H44" s="5">
        <v>347110</v>
      </c>
      <c r="I44" s="5">
        <f>294348+5215</f>
        <v>299563</v>
      </c>
      <c r="J44" s="5">
        <v>309873.96999999997</v>
      </c>
      <c r="K44" s="5">
        <f t="shared" si="1"/>
        <v>10310.969999999972</v>
      </c>
      <c r="L44" s="5">
        <v>334831.02</v>
      </c>
      <c r="M44" s="5">
        <f t="shared" si="2"/>
        <v>24957.050000000047</v>
      </c>
      <c r="N44" s="15" t="s">
        <v>284</v>
      </c>
      <c r="O44" s="16" t="s">
        <v>318</v>
      </c>
    </row>
    <row r="45" spans="1:15" x14ac:dyDescent="0.25">
      <c r="A45" s="1">
        <v>9175</v>
      </c>
      <c r="B45" s="2" t="s">
        <v>200</v>
      </c>
      <c r="F45" s="5">
        <v>6700</v>
      </c>
      <c r="H45" s="5">
        <v>6644.21</v>
      </c>
      <c r="K45" s="5">
        <f>J45-I45</f>
        <v>0</v>
      </c>
      <c r="M45" s="5">
        <f>L45-J45</f>
        <v>0</v>
      </c>
      <c r="O45" s="16"/>
    </row>
    <row r="46" spans="1:15" x14ac:dyDescent="0.25">
      <c r="A46" s="1">
        <v>9195</v>
      </c>
      <c r="B46" s="2" t="s">
        <v>274</v>
      </c>
      <c r="J46" s="5">
        <v>3758</v>
      </c>
      <c r="K46" s="5">
        <f>J46-I46</f>
        <v>3758</v>
      </c>
      <c r="M46" s="5">
        <f>L46-J46</f>
        <v>-3758</v>
      </c>
      <c r="N46" s="20" t="s">
        <v>275</v>
      </c>
      <c r="O46" s="16"/>
    </row>
    <row r="47" spans="1:15" x14ac:dyDescent="0.25">
      <c r="A47" s="2">
        <v>9205</v>
      </c>
      <c r="B47" s="2" t="s">
        <v>270</v>
      </c>
      <c r="F47" s="7"/>
      <c r="J47" s="5">
        <v>13175</v>
      </c>
      <c r="K47" s="5">
        <f t="shared" ref="K47:K49" si="5">J47-I47</f>
        <v>13175</v>
      </c>
      <c r="M47" s="5">
        <f t="shared" ref="M47:M49" si="6">L47-J47</f>
        <v>-13175</v>
      </c>
      <c r="N47" s="20" t="s">
        <v>275</v>
      </c>
      <c r="O47" s="16"/>
    </row>
    <row r="48" spans="1:15" ht="24.75" x14ac:dyDescent="0.25">
      <c r="A48" s="2">
        <v>9210</v>
      </c>
      <c r="B48" s="2" t="s">
        <v>271</v>
      </c>
      <c r="F48" s="7"/>
      <c r="J48" s="5">
        <v>2000</v>
      </c>
      <c r="K48" s="5">
        <f t="shared" si="5"/>
        <v>2000</v>
      </c>
      <c r="M48" s="5">
        <f t="shared" si="6"/>
        <v>-2000</v>
      </c>
      <c r="N48" s="20" t="s">
        <v>275</v>
      </c>
      <c r="O48" s="16"/>
    </row>
    <row r="49" spans="1:14" x14ac:dyDescent="0.25">
      <c r="A49" s="1">
        <v>9215</v>
      </c>
      <c r="B49" s="2" t="s">
        <v>272</v>
      </c>
      <c r="J49" s="5">
        <v>101227</v>
      </c>
      <c r="K49" s="5">
        <f t="shared" si="5"/>
        <v>101227</v>
      </c>
      <c r="M49" s="5">
        <f t="shared" si="6"/>
        <v>-101227</v>
      </c>
      <c r="N49" s="20" t="s">
        <v>275</v>
      </c>
    </row>
    <row r="50" spans="1:14" x14ac:dyDescent="0.25">
      <c r="A50" s="2"/>
      <c r="M50" s="5"/>
    </row>
    <row r="51" spans="1:14" ht="24.75" x14ac:dyDescent="0.25">
      <c r="A51" s="2"/>
      <c r="B51" s="10" t="s">
        <v>32</v>
      </c>
      <c r="C51" s="11" t="e">
        <f>SUM(C4:C44)-C9-C20-#REF!-#REF!-C21-C26-C27</f>
        <v>#REF!</v>
      </c>
      <c r="D51" s="11" t="e">
        <f>SUM(D4:D44)-D9-D20-#REF!-#REF!-D21-D26-D27</f>
        <v>#REF!</v>
      </c>
      <c r="E51" s="11" t="e">
        <f>SUM(E4:E44)-E9-E20-#REF!-#REF!-E21-E26-E27</f>
        <v>#REF!</v>
      </c>
      <c r="F51" s="5" t="e">
        <f>SUM(F4:F48)-F9-F20-#REF!-#REF!-F21-F26-F27</f>
        <v>#REF!</v>
      </c>
      <c r="G51" s="5" t="e">
        <f>SUM(G4:G48)-G9-G20-#REF!-#REF!-G21-G26-G27</f>
        <v>#REF!</v>
      </c>
      <c r="H51" s="5" t="e">
        <f>SUM(H4:H48)-H9-H20-#REF!-#REF!-H21-H26-H27</f>
        <v>#REF!</v>
      </c>
      <c r="I51" s="5">
        <f>SUM(I4:I49)-I9-I20-I21-I26-I27</f>
        <v>6562241.75</v>
      </c>
      <c r="J51" s="5">
        <f>SUM(J4:J49)-J9-J20-J21-J26-J27</f>
        <v>6709868.8100000005</v>
      </c>
      <c r="K51" s="5">
        <f t="shared" si="1"/>
        <v>147627.06000000052</v>
      </c>
      <c r="L51" s="5">
        <f>SUM(L4:L49)-L9-L20-L21</f>
        <v>6989521.6699999999</v>
      </c>
      <c r="M51" s="5">
        <f t="shared" si="2"/>
        <v>279652.8599999994</v>
      </c>
      <c r="N51" s="4" t="s">
        <v>225</v>
      </c>
    </row>
    <row r="52" spans="1:14" x14ac:dyDescent="0.25">
      <c r="B52" s="2" t="s">
        <v>33</v>
      </c>
      <c r="C52" s="12" t="e">
        <f>C9+C20+C21+#REF!+#REF!</f>
        <v>#REF!</v>
      </c>
      <c r="D52" s="12" t="e">
        <f>D9+D20+D21+#REF!+#REF!</f>
        <v>#REF!</v>
      </c>
      <c r="E52" s="12" t="e">
        <f>E9+E20+E21+#REF!+#REF!</f>
        <v>#REF!</v>
      </c>
      <c r="F52" s="13" t="e">
        <f>F9+F20+F21+#REF!+#REF!</f>
        <v>#REF!</v>
      </c>
      <c r="G52" s="7" t="e">
        <f>G9+G20+G21+#REF!+#REF!</f>
        <v>#REF!</v>
      </c>
      <c r="H52" s="7" t="e">
        <f>H9+H20+H21+#REF!+#REF!</f>
        <v>#REF!</v>
      </c>
      <c r="I52" s="7">
        <f>I9+I20+I21</f>
        <v>1873080.05</v>
      </c>
      <c r="J52" s="7">
        <f>J9+J20+J21</f>
        <v>1967769.98</v>
      </c>
      <c r="K52" s="5">
        <f t="shared" si="1"/>
        <v>94689.929999999935</v>
      </c>
      <c r="L52" s="7">
        <f>L9+L20+L21</f>
        <v>1888849.98</v>
      </c>
      <c r="M52" s="5">
        <f t="shared" si="2"/>
        <v>-78920</v>
      </c>
    </row>
    <row r="53" spans="1:14" x14ac:dyDescent="0.25">
      <c r="B53" s="2" t="s">
        <v>34</v>
      </c>
      <c r="C53" s="13" t="e">
        <f t="shared" ref="C53:G53" si="7">SUM(C51:C52)</f>
        <v>#REF!</v>
      </c>
      <c r="D53" s="13" t="e">
        <f t="shared" si="7"/>
        <v>#REF!</v>
      </c>
      <c r="E53" s="13" t="e">
        <f t="shared" si="7"/>
        <v>#REF!</v>
      </c>
      <c r="F53" s="13" t="e">
        <f t="shared" ref="F53" si="8">SUM(F51:F52)</f>
        <v>#REF!</v>
      </c>
      <c r="G53" s="13" t="e">
        <f t="shared" si="7"/>
        <v>#REF!</v>
      </c>
      <c r="H53" s="13" t="e">
        <f t="shared" ref="H53" si="9">SUM(H51:H52)</f>
        <v>#REF!</v>
      </c>
      <c r="I53" s="13">
        <f t="shared" ref="I53:L53" si="10">SUM(I51:I52)</f>
        <v>8435321.8000000007</v>
      </c>
      <c r="J53" s="13">
        <f t="shared" si="10"/>
        <v>8677638.790000001</v>
      </c>
      <c r="K53" s="5">
        <f t="shared" si="1"/>
        <v>242316.99000000022</v>
      </c>
      <c r="L53" s="5">
        <f t="shared" si="10"/>
        <v>8878371.6500000004</v>
      </c>
      <c r="M53" s="5">
        <f t="shared" si="2"/>
        <v>200732.8599999994</v>
      </c>
      <c r="N53" s="4" t="s">
        <v>226</v>
      </c>
    </row>
    <row r="54" spans="1:14" x14ac:dyDescent="0.25">
      <c r="M54" s="5"/>
    </row>
    <row r="55" spans="1:14" x14ac:dyDescent="0.25">
      <c r="B55" s="2" t="s">
        <v>35</v>
      </c>
      <c r="M55" s="5"/>
    </row>
    <row r="56" spans="1:14" x14ac:dyDescent="0.25">
      <c r="M56" s="5"/>
    </row>
    <row r="57" spans="1:14" x14ac:dyDescent="0.25">
      <c r="M57" s="5"/>
    </row>
    <row r="58" spans="1:14" x14ac:dyDescent="0.25">
      <c r="B58" s="2" t="s">
        <v>36</v>
      </c>
      <c r="M58" s="5"/>
    </row>
    <row r="59" spans="1:14" x14ac:dyDescent="0.25">
      <c r="M59" s="5"/>
    </row>
    <row r="60" spans="1:14" x14ac:dyDescent="0.25">
      <c r="A60" s="1">
        <v>5130</v>
      </c>
      <c r="B60" s="2" t="s">
        <v>37</v>
      </c>
      <c r="C60" s="5">
        <v>266184</v>
      </c>
      <c r="D60" s="5">
        <f>C60</f>
        <v>266184</v>
      </c>
      <c r="E60" s="5">
        <v>266184</v>
      </c>
      <c r="F60" s="5">
        <v>266184</v>
      </c>
      <c r="G60" s="5">
        <v>266184</v>
      </c>
      <c r="H60" s="5">
        <v>266184</v>
      </c>
      <c r="I60" s="5">
        <v>266184</v>
      </c>
      <c r="J60" s="5">
        <v>266184</v>
      </c>
      <c r="K60" s="5">
        <f t="shared" si="1"/>
        <v>0</v>
      </c>
      <c r="L60" s="5">
        <f>J60</f>
        <v>266184</v>
      </c>
      <c r="M60" s="5">
        <f t="shared" ref="M60:M121" si="11">L60-J60</f>
        <v>0</v>
      </c>
    </row>
    <row r="61" spans="1:14" x14ac:dyDescent="0.25">
      <c r="A61" s="1">
        <v>5230</v>
      </c>
      <c r="B61" s="2" t="s">
        <v>38</v>
      </c>
      <c r="C61" s="5">
        <v>250</v>
      </c>
      <c r="D61" s="5">
        <f t="shared" ref="D61" si="12">C61</f>
        <v>250</v>
      </c>
      <c r="E61" s="5">
        <v>200</v>
      </c>
      <c r="F61" s="5">
        <v>200</v>
      </c>
      <c r="G61" s="5">
        <v>200</v>
      </c>
      <c r="H61" s="5">
        <v>200</v>
      </c>
      <c r="I61" s="5">
        <v>200</v>
      </c>
      <c r="J61" s="5">
        <v>200</v>
      </c>
      <c r="K61" s="5">
        <f t="shared" si="1"/>
        <v>0</v>
      </c>
      <c r="L61" s="5">
        <v>200</v>
      </c>
      <c r="M61" s="5">
        <f t="shared" si="11"/>
        <v>0</v>
      </c>
    </row>
    <row r="62" spans="1:14" x14ac:dyDescent="0.25">
      <c r="A62" s="2">
        <v>5310</v>
      </c>
      <c r="B62" s="2" t="s">
        <v>39</v>
      </c>
      <c r="C62" s="9">
        <f>SUM(C63:C67)</f>
        <v>28542.39</v>
      </c>
      <c r="D62" s="9">
        <f>SUM(D63:D67)</f>
        <v>28542.39</v>
      </c>
      <c r="E62" s="9">
        <f>SUM(E63:E67)</f>
        <v>29757</v>
      </c>
      <c r="F62" s="5">
        <f>SUM(F63:F67)</f>
        <v>29757</v>
      </c>
      <c r="G62" s="9">
        <f>SUM(G63:G67)</f>
        <v>28490.17</v>
      </c>
      <c r="H62" s="9">
        <f t="shared" ref="H62" si="13">SUM(H63:H67)</f>
        <v>28490.17</v>
      </c>
      <c r="I62" s="9">
        <f>SUM(I63:I67)</f>
        <v>28490.149999999998</v>
      </c>
      <c r="J62" s="9">
        <f>SUM(J63:J67)</f>
        <v>28490.149999999998</v>
      </c>
      <c r="K62" s="5">
        <f t="shared" si="1"/>
        <v>0</v>
      </c>
      <c r="L62" s="9">
        <f>SUM(L63:L67)</f>
        <v>29038.959999999999</v>
      </c>
      <c r="M62" s="5">
        <f>L62-J62</f>
        <v>548.81000000000131</v>
      </c>
      <c r="N62" s="4" t="s">
        <v>213</v>
      </c>
    </row>
    <row r="63" spans="1:14" ht="60.75" x14ac:dyDescent="0.25">
      <c r="A63" s="2"/>
      <c r="B63" s="2" t="s">
        <v>40</v>
      </c>
      <c r="C63" s="5">
        <v>25492.39</v>
      </c>
      <c r="D63" s="5">
        <f>C63</f>
        <v>25492.39</v>
      </c>
      <c r="E63" s="5">
        <v>25294</v>
      </c>
      <c r="F63" s="5">
        <v>25294</v>
      </c>
      <c r="G63" s="5">
        <v>26242.46</v>
      </c>
      <c r="H63" s="5">
        <v>26242.46</v>
      </c>
      <c r="I63" s="5">
        <v>26242.44</v>
      </c>
      <c r="J63" s="5">
        <v>26242.44</v>
      </c>
      <c r="K63" s="5">
        <f t="shared" si="1"/>
        <v>0</v>
      </c>
      <c r="L63" s="5">
        <v>26767.29</v>
      </c>
      <c r="M63" s="5">
        <f t="shared" si="11"/>
        <v>524.85000000000218</v>
      </c>
      <c r="N63" s="4" t="s">
        <v>207</v>
      </c>
    </row>
    <row r="64" spans="1:14" x14ac:dyDescent="0.25">
      <c r="A64" s="2"/>
      <c r="B64" s="2" t="s">
        <v>191</v>
      </c>
      <c r="D64" s="5">
        <f t="shared" ref="D64:D74" si="14">C64</f>
        <v>0</v>
      </c>
      <c r="E64" s="5">
        <v>1413</v>
      </c>
      <c r="F64" s="7">
        <v>1413</v>
      </c>
      <c r="G64" s="5">
        <v>1197.71</v>
      </c>
      <c r="H64" s="5">
        <v>1197.71</v>
      </c>
      <c r="I64" s="5">
        <v>1197.71</v>
      </c>
      <c r="J64" s="5">
        <v>1197.71</v>
      </c>
      <c r="K64" s="5">
        <f t="shared" si="1"/>
        <v>0</v>
      </c>
      <c r="L64" s="5">
        <v>1221.67</v>
      </c>
      <c r="M64" s="5">
        <f t="shared" si="11"/>
        <v>23.960000000000036</v>
      </c>
      <c r="N64" s="4" t="s">
        <v>208</v>
      </c>
    </row>
    <row r="65" spans="1:15" x14ac:dyDescent="0.25">
      <c r="A65" s="2"/>
      <c r="B65" s="2" t="s">
        <v>41</v>
      </c>
      <c r="C65" s="5">
        <v>0</v>
      </c>
      <c r="D65" s="5">
        <f t="shared" si="14"/>
        <v>0</v>
      </c>
      <c r="E65" s="5">
        <v>0</v>
      </c>
      <c r="F65" s="5">
        <v>0</v>
      </c>
      <c r="G65" s="5">
        <v>0</v>
      </c>
      <c r="H65" s="5">
        <v>0</v>
      </c>
      <c r="K65" s="5">
        <f t="shared" si="1"/>
        <v>0</v>
      </c>
      <c r="L65" s="5">
        <v>0</v>
      </c>
      <c r="M65" s="5">
        <f t="shared" si="11"/>
        <v>0</v>
      </c>
      <c r="N65" s="4" t="s">
        <v>163</v>
      </c>
    </row>
    <row r="66" spans="1:15" ht="24.75" x14ac:dyDescent="0.25">
      <c r="B66" s="2" t="s">
        <v>42</v>
      </c>
      <c r="C66" s="5">
        <v>250</v>
      </c>
      <c r="D66" s="5">
        <f>C66</f>
        <v>250</v>
      </c>
      <c r="E66" s="5">
        <v>250</v>
      </c>
      <c r="F66" s="5">
        <v>250</v>
      </c>
      <c r="G66" s="5">
        <v>250</v>
      </c>
      <c r="H66" s="5">
        <v>250</v>
      </c>
      <c r="I66" s="5">
        <v>250</v>
      </c>
      <c r="J66" s="5">
        <v>250</v>
      </c>
      <c r="K66" s="5">
        <f t="shared" si="1"/>
        <v>0</v>
      </c>
      <c r="L66" s="5">
        <v>250</v>
      </c>
      <c r="M66" s="5">
        <f t="shared" si="11"/>
        <v>0</v>
      </c>
      <c r="N66" s="4" t="s">
        <v>164</v>
      </c>
    </row>
    <row r="67" spans="1:15" ht="24.75" x14ac:dyDescent="0.25">
      <c r="A67" s="2"/>
      <c r="B67" s="2" t="s">
        <v>174</v>
      </c>
      <c r="C67" s="5">
        <v>2800</v>
      </c>
      <c r="D67" s="5">
        <f t="shared" si="14"/>
        <v>2800</v>
      </c>
      <c r="E67" s="5">
        <v>2800</v>
      </c>
      <c r="F67" s="5">
        <v>2800</v>
      </c>
      <c r="G67" s="5">
        <v>800</v>
      </c>
      <c r="H67" s="5">
        <v>800</v>
      </c>
      <c r="I67" s="5">
        <v>800</v>
      </c>
      <c r="J67" s="5">
        <v>800</v>
      </c>
      <c r="K67" s="5">
        <f t="shared" si="1"/>
        <v>0</v>
      </c>
      <c r="L67" s="5">
        <v>800</v>
      </c>
      <c r="M67" s="5">
        <f t="shared" si="11"/>
        <v>0</v>
      </c>
      <c r="N67" s="4" t="s">
        <v>195</v>
      </c>
    </row>
    <row r="68" spans="1:15" ht="24.75" x14ac:dyDescent="0.25">
      <c r="A68" s="1">
        <v>5320</v>
      </c>
      <c r="B68" s="2" t="s">
        <v>43</v>
      </c>
      <c r="C68" s="7">
        <f>SUM(C69:C74)</f>
        <v>45642.29</v>
      </c>
      <c r="D68" s="7">
        <f>SUM(D69:D74)</f>
        <v>45642.29</v>
      </c>
      <c r="E68" s="7">
        <f>SUM(E69:E74)</f>
        <v>43823</v>
      </c>
      <c r="F68" s="5">
        <f>SUM(F69:F74)</f>
        <v>43823</v>
      </c>
      <c r="G68" s="7">
        <f>SUM(G69:G74)</f>
        <v>44808</v>
      </c>
      <c r="H68" s="7">
        <f t="shared" ref="H68" si="15">SUM(H69:H74)</f>
        <v>44808</v>
      </c>
      <c r="I68" s="7">
        <f>SUM(I69:I74)</f>
        <v>45058</v>
      </c>
      <c r="J68" s="7">
        <f t="shared" ref="J68" si="16">SUM(J69:J74)</f>
        <v>45058</v>
      </c>
      <c r="K68" s="5">
        <f t="shared" si="1"/>
        <v>0</v>
      </c>
      <c r="L68" s="7">
        <f>SUM(L69:L74)</f>
        <v>46234.14</v>
      </c>
      <c r="M68" s="5">
        <f t="shared" si="11"/>
        <v>1176.1399999999994</v>
      </c>
    </row>
    <row r="69" spans="1:15" ht="24.75" x14ac:dyDescent="0.25">
      <c r="B69" s="2" t="s">
        <v>44</v>
      </c>
      <c r="C69" s="5">
        <v>25322</v>
      </c>
      <c r="D69" s="5">
        <f t="shared" si="14"/>
        <v>25322</v>
      </c>
      <c r="E69" s="5">
        <v>26272</v>
      </c>
      <c r="F69" s="5">
        <v>26272</v>
      </c>
      <c r="G69" s="5">
        <v>27257</v>
      </c>
      <c r="H69" s="5">
        <v>27257</v>
      </c>
      <c r="I69" s="5">
        <v>27257</v>
      </c>
      <c r="J69" s="5">
        <v>27257</v>
      </c>
      <c r="K69" s="5">
        <f t="shared" si="1"/>
        <v>0</v>
      </c>
      <c r="L69" s="5">
        <v>27802.14</v>
      </c>
      <c r="M69" s="5">
        <f t="shared" si="11"/>
        <v>545.13999999999942</v>
      </c>
      <c r="N69" s="4" t="s">
        <v>209</v>
      </c>
    </row>
    <row r="70" spans="1:15" x14ac:dyDescent="0.25">
      <c r="A70" s="2"/>
      <c r="B70" s="2" t="s">
        <v>45</v>
      </c>
      <c r="C70" s="5">
        <v>8493</v>
      </c>
      <c r="D70" s="5">
        <f t="shared" si="14"/>
        <v>8493</v>
      </c>
      <c r="E70" s="5">
        <v>5605</v>
      </c>
      <c r="F70" s="5">
        <v>5605</v>
      </c>
      <c r="G70" s="5">
        <v>5605</v>
      </c>
      <c r="H70" s="5">
        <v>5605</v>
      </c>
      <c r="I70" s="5">
        <v>5855</v>
      </c>
      <c r="J70" s="5">
        <v>5855</v>
      </c>
      <c r="K70" s="5">
        <f t="shared" ref="K70:K131" si="17">J70-I70</f>
        <v>0</v>
      </c>
      <c r="L70" s="5">
        <v>6586</v>
      </c>
      <c r="M70" s="5">
        <f t="shared" si="11"/>
        <v>731</v>
      </c>
    </row>
    <row r="71" spans="1:15" x14ac:dyDescent="0.25">
      <c r="B71" s="2" t="s">
        <v>46</v>
      </c>
      <c r="C71" s="5">
        <v>0</v>
      </c>
      <c r="D71" s="5">
        <f t="shared" si="14"/>
        <v>0</v>
      </c>
      <c r="G71" s="5">
        <v>0</v>
      </c>
      <c r="H71" s="5">
        <v>0</v>
      </c>
      <c r="K71" s="5">
        <f t="shared" si="17"/>
        <v>0</v>
      </c>
      <c r="L71" s="5">
        <v>0</v>
      </c>
      <c r="M71" s="5">
        <f t="shared" si="11"/>
        <v>0</v>
      </c>
    </row>
    <row r="72" spans="1:15" x14ac:dyDescent="0.25">
      <c r="B72" s="2" t="s">
        <v>47</v>
      </c>
      <c r="C72" s="5">
        <v>10746</v>
      </c>
      <c r="D72" s="5">
        <f t="shared" si="14"/>
        <v>10746</v>
      </c>
      <c r="E72" s="5">
        <v>10746</v>
      </c>
      <c r="F72" s="7">
        <v>10746</v>
      </c>
      <c r="G72" s="5">
        <v>10746</v>
      </c>
      <c r="H72" s="5">
        <v>10746</v>
      </c>
      <c r="I72" s="5">
        <v>10746</v>
      </c>
      <c r="J72" s="5">
        <v>10746</v>
      </c>
      <c r="K72" s="5">
        <f t="shared" si="17"/>
        <v>0</v>
      </c>
      <c r="L72" s="5">
        <v>10746</v>
      </c>
      <c r="M72" s="5">
        <f t="shared" si="11"/>
        <v>0</v>
      </c>
      <c r="N72" s="4" t="s">
        <v>227</v>
      </c>
    </row>
    <row r="73" spans="1:15" ht="48.75" x14ac:dyDescent="0.25">
      <c r="B73" s="2" t="s">
        <v>48</v>
      </c>
      <c r="C73" s="5">
        <v>1081.29</v>
      </c>
      <c r="D73" s="5">
        <f t="shared" si="14"/>
        <v>1081.29</v>
      </c>
      <c r="E73" s="5">
        <f>2200/2+100</f>
        <v>1200</v>
      </c>
      <c r="F73" s="5">
        <f>2200/2+100</f>
        <v>1200</v>
      </c>
      <c r="G73" s="5">
        <v>1200</v>
      </c>
      <c r="H73" s="5">
        <v>1200</v>
      </c>
      <c r="I73" s="5">
        <v>1200</v>
      </c>
      <c r="J73" s="5">
        <v>1200</v>
      </c>
      <c r="K73" s="5">
        <f t="shared" si="17"/>
        <v>0</v>
      </c>
      <c r="L73" s="5">
        <v>1100</v>
      </c>
      <c r="M73" s="5">
        <f t="shared" si="11"/>
        <v>-100</v>
      </c>
      <c r="N73" s="4" t="s">
        <v>319</v>
      </c>
    </row>
    <row r="74" spans="1:15" x14ac:dyDescent="0.25">
      <c r="B74" s="2" t="s">
        <v>49</v>
      </c>
      <c r="C74" s="5">
        <v>0</v>
      </c>
      <c r="D74" s="5">
        <f t="shared" si="14"/>
        <v>0</v>
      </c>
      <c r="E74" s="5">
        <v>0</v>
      </c>
      <c r="F74" s="5">
        <v>0</v>
      </c>
      <c r="G74" s="5">
        <v>0</v>
      </c>
      <c r="H74" s="5">
        <v>0</v>
      </c>
      <c r="I74" s="5">
        <v>0</v>
      </c>
      <c r="J74" s="5">
        <v>0</v>
      </c>
      <c r="K74" s="5">
        <f t="shared" si="17"/>
        <v>0</v>
      </c>
      <c r="L74" s="5">
        <v>0</v>
      </c>
      <c r="M74" s="5">
        <f t="shared" si="11"/>
        <v>0</v>
      </c>
      <c r="N74" s="4" t="s">
        <v>186</v>
      </c>
    </row>
    <row r="75" spans="1:15" x14ac:dyDescent="0.25">
      <c r="K75" s="5">
        <f t="shared" si="17"/>
        <v>0</v>
      </c>
      <c r="M75" s="5">
        <f t="shared" si="11"/>
        <v>0</v>
      </c>
    </row>
    <row r="76" spans="1:15" x14ac:dyDescent="0.25">
      <c r="B76" s="2" t="s">
        <v>50</v>
      </c>
      <c r="C76" s="7" t="e">
        <f>C60+C61+#REF!+C62+C68</f>
        <v>#REF!</v>
      </c>
      <c r="D76" s="7" t="e">
        <f>D60+D61+#REF!+D62+D68</f>
        <v>#REF!</v>
      </c>
      <c r="E76" s="7" t="e">
        <f>E60+E61+#REF!+E62+E68</f>
        <v>#REF!</v>
      </c>
      <c r="F76" s="5" t="e">
        <f>F60+F61+#REF!+F62+F68</f>
        <v>#REF!</v>
      </c>
      <c r="G76" s="7" t="e">
        <f>G60+G61+#REF!+G62+G68</f>
        <v>#REF!</v>
      </c>
      <c r="H76" s="7" t="e">
        <f>H60+H61+#REF!+H62+H68</f>
        <v>#REF!</v>
      </c>
      <c r="I76" s="7">
        <f>I60+I61+I62+I68</f>
        <v>339932.15</v>
      </c>
      <c r="J76" s="7">
        <f>J60+J61+J62+J68</f>
        <v>339932.15</v>
      </c>
      <c r="K76" s="5">
        <f t="shared" si="17"/>
        <v>0</v>
      </c>
      <c r="L76" s="7">
        <f>L60+L61+L62+L68</f>
        <v>341657.10000000003</v>
      </c>
      <c r="M76" s="5">
        <f t="shared" si="11"/>
        <v>1724.9500000000116</v>
      </c>
    </row>
    <row r="77" spans="1:15" x14ac:dyDescent="0.25">
      <c r="M77" s="5">
        <f t="shared" si="11"/>
        <v>0</v>
      </c>
    </row>
    <row r="78" spans="1:15" x14ac:dyDescent="0.25">
      <c r="B78" s="2" t="s">
        <v>51</v>
      </c>
      <c r="F78" s="7"/>
      <c r="M78" s="5">
        <f t="shared" si="11"/>
        <v>0</v>
      </c>
    </row>
    <row r="79" spans="1:15" x14ac:dyDescent="0.25">
      <c r="M79" s="5">
        <f t="shared" si="11"/>
        <v>0</v>
      </c>
    </row>
    <row r="80" spans="1:15" ht="23.25" x14ac:dyDescent="0.25">
      <c r="A80" s="1">
        <v>5510</v>
      </c>
      <c r="B80" s="2" t="s">
        <v>52</v>
      </c>
      <c r="C80" s="5">
        <v>17823.11</v>
      </c>
      <c r="D80" s="5">
        <f>C80</f>
        <v>17823.11</v>
      </c>
      <c r="E80" s="5">
        <v>18001.34</v>
      </c>
      <c r="F80" s="5">
        <v>18001.34</v>
      </c>
      <c r="G80" s="5">
        <v>18181.36</v>
      </c>
      <c r="H80" s="5">
        <v>18181.36</v>
      </c>
      <c r="I80" s="5">
        <v>18181.36</v>
      </c>
      <c r="J80" s="5">
        <v>18181.36</v>
      </c>
      <c r="K80" s="5">
        <f t="shared" si="17"/>
        <v>0</v>
      </c>
      <c r="L80" s="5">
        <f>18363.17+181.81</f>
        <v>18544.98</v>
      </c>
      <c r="M80" s="5">
        <f t="shared" si="11"/>
        <v>363.61999999999898</v>
      </c>
      <c r="N80" s="4" t="s">
        <v>218</v>
      </c>
      <c r="O80" s="16" t="s">
        <v>336</v>
      </c>
    </row>
    <row r="81" spans="1:15" x14ac:dyDescent="0.25">
      <c r="M81" s="5">
        <f t="shared" si="11"/>
        <v>0</v>
      </c>
    </row>
    <row r="82" spans="1:15" x14ac:dyDescent="0.25">
      <c r="B82" s="2" t="s">
        <v>53</v>
      </c>
      <c r="C82" s="12">
        <f t="shared" ref="C82:H82" si="18">SUM(C80:C80)</f>
        <v>17823.11</v>
      </c>
      <c r="D82" s="12">
        <f t="shared" si="18"/>
        <v>17823.11</v>
      </c>
      <c r="E82" s="12">
        <f t="shared" si="18"/>
        <v>18001.34</v>
      </c>
      <c r="F82" s="13">
        <f>SUM(F80:F80)</f>
        <v>18001.34</v>
      </c>
      <c r="G82" s="12">
        <f t="shared" si="18"/>
        <v>18181.36</v>
      </c>
      <c r="H82" s="12">
        <f t="shared" si="18"/>
        <v>18181.36</v>
      </c>
      <c r="I82" s="7">
        <f>SUM(I80:I80)</f>
        <v>18181.36</v>
      </c>
      <c r="J82" s="7">
        <f t="shared" ref="J82:L82" si="19">SUM(J80:J80)</f>
        <v>18181.36</v>
      </c>
      <c r="K82" s="5">
        <f t="shared" si="17"/>
        <v>0</v>
      </c>
      <c r="L82" s="7">
        <f t="shared" si="19"/>
        <v>18544.98</v>
      </c>
      <c r="M82" s="5">
        <f t="shared" si="11"/>
        <v>363.61999999999898</v>
      </c>
    </row>
    <row r="83" spans="1:15" x14ac:dyDescent="0.25">
      <c r="A83" s="2"/>
      <c r="M83" s="5">
        <f t="shared" si="11"/>
        <v>0</v>
      </c>
    </row>
    <row r="84" spans="1:15" x14ac:dyDescent="0.25">
      <c r="A84" s="2"/>
      <c r="B84" s="2" t="s">
        <v>54</v>
      </c>
      <c r="M84" s="5">
        <f t="shared" si="11"/>
        <v>0</v>
      </c>
    </row>
    <row r="85" spans="1:15" x14ac:dyDescent="0.25">
      <c r="A85" s="2"/>
      <c r="M85" s="5">
        <f t="shared" si="11"/>
        <v>0</v>
      </c>
    </row>
    <row r="86" spans="1:15" x14ac:dyDescent="0.25">
      <c r="A86" s="2">
        <v>5530</v>
      </c>
      <c r="B86" s="2" t="s">
        <v>55</v>
      </c>
      <c r="C86" s="5">
        <v>103270</v>
      </c>
      <c r="D86" s="5">
        <f>C86</f>
        <v>103270</v>
      </c>
      <c r="E86" s="5">
        <v>98511.96</v>
      </c>
      <c r="F86" s="5">
        <v>98511.96</v>
      </c>
      <c r="G86" s="5">
        <v>103149.96</v>
      </c>
      <c r="H86" s="5">
        <v>103149.96</v>
      </c>
      <c r="I86" s="5">
        <v>108110</v>
      </c>
      <c r="J86" s="5">
        <v>108110</v>
      </c>
      <c r="K86" s="5">
        <f t="shared" si="17"/>
        <v>0</v>
      </c>
      <c r="L86" s="5">
        <v>120308</v>
      </c>
      <c r="M86" s="5">
        <f t="shared" si="11"/>
        <v>12198</v>
      </c>
    </row>
    <row r="87" spans="1:15" x14ac:dyDescent="0.25">
      <c r="A87" s="2">
        <v>5535</v>
      </c>
      <c r="B87" s="2" t="s">
        <v>56</v>
      </c>
      <c r="C87" s="5">
        <v>10000</v>
      </c>
      <c r="D87" s="5">
        <f t="shared" ref="D87:D95" si="20">C87</f>
        <v>10000</v>
      </c>
      <c r="E87" s="5">
        <v>20000</v>
      </c>
      <c r="F87" s="7">
        <v>20000</v>
      </c>
      <c r="G87" s="5">
        <v>20000</v>
      </c>
      <c r="H87" s="5">
        <v>20000</v>
      </c>
      <c r="I87" s="5">
        <v>20000</v>
      </c>
      <c r="J87" s="5">
        <v>20000</v>
      </c>
      <c r="K87" s="5">
        <f t="shared" si="17"/>
        <v>0</v>
      </c>
      <c r="L87" s="5">
        <v>15000</v>
      </c>
      <c r="M87" s="5">
        <f t="shared" si="11"/>
        <v>-5000</v>
      </c>
    </row>
    <row r="88" spans="1:15" ht="48.75" x14ac:dyDescent="0.25">
      <c r="A88" s="2">
        <v>5540</v>
      </c>
      <c r="B88" s="2" t="s">
        <v>57</v>
      </c>
      <c r="C88" s="5">
        <f>53696+26000</f>
        <v>79696</v>
      </c>
      <c r="D88" s="5">
        <f t="shared" si="20"/>
        <v>79696</v>
      </c>
      <c r="E88" s="5">
        <v>56964</v>
      </c>
      <c r="F88" s="5">
        <v>56964</v>
      </c>
      <c r="G88" s="5">
        <v>57165</v>
      </c>
      <c r="H88" s="5">
        <v>57165</v>
      </c>
      <c r="I88" s="5">
        <v>57482</v>
      </c>
      <c r="J88" s="5">
        <v>57482</v>
      </c>
      <c r="K88" s="5">
        <f t="shared" si="17"/>
        <v>0</v>
      </c>
      <c r="L88" s="5">
        <v>74606</v>
      </c>
      <c r="M88" s="5">
        <f t="shared" si="11"/>
        <v>17124</v>
      </c>
      <c r="N88" s="4" t="s">
        <v>255</v>
      </c>
    </row>
    <row r="89" spans="1:15" x14ac:dyDescent="0.25">
      <c r="A89" s="2">
        <v>5545</v>
      </c>
      <c r="B89" s="2" t="s">
        <v>58</v>
      </c>
      <c r="C89" s="5">
        <v>7100</v>
      </c>
      <c r="D89" s="5">
        <f t="shared" si="20"/>
        <v>7100</v>
      </c>
      <c r="E89" s="5">
        <v>6950</v>
      </c>
      <c r="F89" s="5">
        <v>6950</v>
      </c>
      <c r="G89" s="5">
        <v>7803</v>
      </c>
      <c r="H89" s="5">
        <v>7803</v>
      </c>
      <c r="I89" s="5">
        <v>7835</v>
      </c>
      <c r="J89" s="5">
        <v>7835</v>
      </c>
      <c r="K89" s="5">
        <f t="shared" si="17"/>
        <v>0</v>
      </c>
      <c r="L89" s="5">
        <v>7835</v>
      </c>
      <c r="M89" s="5">
        <f t="shared" si="11"/>
        <v>0</v>
      </c>
    </row>
    <row r="90" spans="1:15" ht="45.75" x14ac:dyDescent="0.25">
      <c r="A90" s="1">
        <v>5550</v>
      </c>
      <c r="B90" s="2" t="s">
        <v>59</v>
      </c>
      <c r="C90" s="5">
        <f>273997.93+10000</f>
        <v>283997.93</v>
      </c>
      <c r="D90" s="5">
        <f t="shared" si="20"/>
        <v>283997.93</v>
      </c>
      <c r="E90" s="5">
        <v>328954</v>
      </c>
      <c r="F90" s="5">
        <v>328954</v>
      </c>
      <c r="G90" s="5">
        <v>331509.3</v>
      </c>
      <c r="H90" s="5">
        <v>331509.3</v>
      </c>
      <c r="I90" s="5">
        <v>339925</v>
      </c>
      <c r="J90" s="5">
        <v>339925</v>
      </c>
      <c r="K90" s="5">
        <f t="shared" si="17"/>
        <v>0</v>
      </c>
      <c r="L90" s="5">
        <f>354907.8+3464.43</f>
        <v>358372.23</v>
      </c>
      <c r="M90" s="5">
        <f t="shared" si="11"/>
        <v>18447.229999999981</v>
      </c>
      <c r="N90" s="4" t="s">
        <v>216</v>
      </c>
      <c r="O90" s="16" t="s">
        <v>332</v>
      </c>
    </row>
    <row r="91" spans="1:15" ht="24.75" x14ac:dyDescent="0.25">
      <c r="A91" s="1">
        <v>5551</v>
      </c>
      <c r="B91" s="2" t="s">
        <v>60</v>
      </c>
      <c r="C91" s="7">
        <f t="shared" ref="C91:J91" si="21">SUM(C92:C93)</f>
        <v>538907.65</v>
      </c>
      <c r="D91" s="7">
        <f t="shared" si="21"/>
        <v>538907.65</v>
      </c>
      <c r="E91" s="7">
        <f t="shared" si="21"/>
        <v>492082.12</v>
      </c>
      <c r="F91" s="5">
        <f t="shared" ref="F91" si="22">SUM(F92:F93)</f>
        <v>492082.12</v>
      </c>
      <c r="G91" s="7">
        <f t="shared" si="21"/>
        <v>495375.64</v>
      </c>
      <c r="H91" s="7">
        <f t="shared" si="21"/>
        <v>495375.64</v>
      </c>
      <c r="I91" s="7">
        <f t="shared" si="21"/>
        <v>495375.68</v>
      </c>
      <c r="J91" s="7">
        <f t="shared" si="21"/>
        <v>495375.68</v>
      </c>
      <c r="K91" s="5">
        <f t="shared" si="17"/>
        <v>0</v>
      </c>
      <c r="L91" s="7">
        <f>SUM(L92:L93)</f>
        <v>497198</v>
      </c>
      <c r="M91" s="5">
        <f t="shared" si="11"/>
        <v>1822.320000000007</v>
      </c>
      <c r="N91" s="4" t="s">
        <v>249</v>
      </c>
      <c r="O91" s="23" t="s">
        <v>305</v>
      </c>
    </row>
    <row r="92" spans="1:15" ht="23.25" customHeight="1" x14ac:dyDescent="0.25">
      <c r="A92" s="2"/>
      <c r="B92" s="2" t="s">
        <v>192</v>
      </c>
      <c r="C92" s="5">
        <v>454255</v>
      </c>
      <c r="D92" s="5">
        <f t="shared" si="20"/>
        <v>454255</v>
      </c>
      <c r="E92" s="5">
        <f>C92-50000</f>
        <v>404255</v>
      </c>
      <c r="F92" s="5">
        <v>404255</v>
      </c>
      <c r="G92" s="5">
        <v>404255</v>
      </c>
      <c r="H92" s="5">
        <v>404255</v>
      </c>
      <c r="I92" s="5">
        <v>404255</v>
      </c>
      <c r="J92" s="5">
        <v>404255</v>
      </c>
      <c r="K92" s="5">
        <f t="shared" si="17"/>
        <v>0</v>
      </c>
      <c r="L92" s="5">
        <v>404255</v>
      </c>
      <c r="M92" s="5">
        <f t="shared" si="11"/>
        <v>0</v>
      </c>
      <c r="N92" s="4" t="s">
        <v>249</v>
      </c>
    </row>
    <row r="93" spans="1:15" ht="27.75" customHeight="1" x14ac:dyDescent="0.25">
      <c r="A93" s="2"/>
      <c r="B93" s="4" t="s">
        <v>162</v>
      </c>
      <c r="C93" s="5">
        <v>84652.65</v>
      </c>
      <c r="D93" s="5">
        <f t="shared" si="20"/>
        <v>84652.65</v>
      </c>
      <c r="E93" s="5">
        <v>87827.12</v>
      </c>
      <c r="F93" s="5">
        <v>87827.12</v>
      </c>
      <c r="G93" s="5">
        <v>91120.639999999999</v>
      </c>
      <c r="H93" s="5">
        <v>91120.639999999999</v>
      </c>
      <c r="I93" s="5">
        <v>91120.68</v>
      </c>
      <c r="J93" s="5">
        <v>91120.68</v>
      </c>
      <c r="K93" s="5">
        <f t="shared" si="17"/>
        <v>0</v>
      </c>
      <c r="L93" s="5">
        <v>92943</v>
      </c>
      <c r="M93" s="5">
        <f t="shared" si="11"/>
        <v>1822.320000000007</v>
      </c>
      <c r="N93" s="4" t="s">
        <v>61</v>
      </c>
    </row>
    <row r="94" spans="1:15" x14ac:dyDescent="0.25">
      <c r="A94" s="2">
        <v>5552</v>
      </c>
      <c r="B94" s="2" t="s">
        <v>62</v>
      </c>
      <c r="C94" s="5">
        <v>9920</v>
      </c>
      <c r="D94" s="5">
        <f t="shared" si="20"/>
        <v>9920</v>
      </c>
      <c r="E94" s="5">
        <v>9920</v>
      </c>
      <c r="F94" s="5">
        <v>9920</v>
      </c>
      <c r="G94" s="5">
        <v>10960</v>
      </c>
      <c r="H94" s="5">
        <v>10960</v>
      </c>
      <c r="I94" s="5">
        <v>12208</v>
      </c>
      <c r="J94" s="5">
        <v>12208</v>
      </c>
      <c r="K94" s="5">
        <f t="shared" si="17"/>
        <v>0</v>
      </c>
      <c r="L94" s="5">
        <v>8539</v>
      </c>
      <c r="M94" s="5">
        <f t="shared" si="11"/>
        <v>-3669</v>
      </c>
    </row>
    <row r="95" spans="1:15" ht="24.75" x14ac:dyDescent="0.25">
      <c r="A95" s="2">
        <v>5555</v>
      </c>
      <c r="B95" s="2" t="s">
        <v>63</v>
      </c>
      <c r="C95" s="5">
        <v>24494</v>
      </c>
      <c r="D95" s="5">
        <f t="shared" si="20"/>
        <v>24494</v>
      </c>
      <c r="E95" s="5">
        <v>25066</v>
      </c>
      <c r="F95" s="5">
        <v>25066</v>
      </c>
      <c r="G95" s="5">
        <v>18483</v>
      </c>
      <c r="H95" s="5">
        <v>18483</v>
      </c>
      <c r="I95" s="5">
        <v>18206</v>
      </c>
      <c r="J95" s="5">
        <v>18206</v>
      </c>
      <c r="K95" s="5">
        <f t="shared" si="17"/>
        <v>0</v>
      </c>
      <c r="L95" s="5">
        <v>18206</v>
      </c>
      <c r="M95" s="5">
        <f t="shared" si="11"/>
        <v>0</v>
      </c>
    </row>
    <row r="96" spans="1:15" ht="36.75" x14ac:dyDescent="0.25">
      <c r="A96" s="2">
        <v>5557</v>
      </c>
      <c r="B96" s="2" t="s">
        <v>276</v>
      </c>
      <c r="J96" s="5">
        <v>63916</v>
      </c>
      <c r="L96" s="5">
        <v>65201</v>
      </c>
      <c r="M96" s="5">
        <f t="shared" si="11"/>
        <v>1285</v>
      </c>
      <c r="N96" s="15" t="s">
        <v>256</v>
      </c>
    </row>
    <row r="97" spans="1:15" ht="36.75" x14ac:dyDescent="0.25">
      <c r="A97" s="2">
        <v>5560</v>
      </c>
      <c r="B97" s="2" t="s">
        <v>64</v>
      </c>
      <c r="C97" s="5">
        <v>138755</v>
      </c>
      <c r="D97" s="5">
        <f>C97-32000</f>
        <v>106755</v>
      </c>
      <c r="E97" s="5">
        <v>97894</v>
      </c>
      <c r="F97" s="5">
        <v>97894</v>
      </c>
      <c r="G97" s="5">
        <v>119287</v>
      </c>
      <c r="H97" s="5">
        <v>119287</v>
      </c>
      <c r="I97" s="5">
        <v>127885</v>
      </c>
      <c r="J97" s="5">
        <v>63969</v>
      </c>
      <c r="K97" s="5">
        <f t="shared" si="17"/>
        <v>-63916</v>
      </c>
      <c r="L97" s="5">
        <v>68825</v>
      </c>
      <c r="M97" s="5">
        <f t="shared" si="11"/>
        <v>4856</v>
      </c>
      <c r="N97" s="15" t="s">
        <v>256</v>
      </c>
    </row>
    <row r="98" spans="1:15" ht="24.75" x14ac:dyDescent="0.25">
      <c r="A98" s="2">
        <v>5565</v>
      </c>
      <c r="B98" s="2" t="s">
        <v>65</v>
      </c>
      <c r="C98" s="5">
        <v>92754</v>
      </c>
      <c r="D98" s="5">
        <f>C98-15000</f>
        <v>77754</v>
      </c>
      <c r="E98" s="5">
        <v>78923</v>
      </c>
      <c r="F98" s="5">
        <v>78923</v>
      </c>
      <c r="G98" s="5">
        <v>64871</v>
      </c>
      <c r="H98" s="5">
        <v>64871</v>
      </c>
      <c r="I98" s="5">
        <v>63501</v>
      </c>
      <c r="J98" s="5">
        <v>63501</v>
      </c>
      <c r="K98" s="5">
        <f t="shared" si="17"/>
        <v>0</v>
      </c>
      <c r="L98" s="5">
        <v>63589</v>
      </c>
      <c r="M98" s="5">
        <f t="shared" si="11"/>
        <v>88</v>
      </c>
    </row>
    <row r="99" spans="1:15" ht="24.75" x14ac:dyDescent="0.25">
      <c r="A99" s="2">
        <v>5570</v>
      </c>
      <c r="B99" s="2" t="s">
        <v>66</v>
      </c>
      <c r="C99" s="5">
        <v>8000</v>
      </c>
      <c r="D99" s="5">
        <f>C99</f>
        <v>8000</v>
      </c>
      <c r="E99" s="5">
        <v>9000</v>
      </c>
      <c r="F99" s="5">
        <v>9000</v>
      </c>
      <c r="G99" s="5">
        <v>9000</v>
      </c>
      <c r="H99" s="5">
        <v>9000</v>
      </c>
      <c r="I99" s="5">
        <v>8500</v>
      </c>
      <c r="J99" s="5">
        <v>8500</v>
      </c>
      <c r="K99" s="5">
        <f t="shared" si="17"/>
        <v>0</v>
      </c>
      <c r="L99" s="5">
        <v>8500</v>
      </c>
      <c r="M99" s="5">
        <f t="shared" si="11"/>
        <v>0</v>
      </c>
      <c r="N99" s="4" t="s">
        <v>240</v>
      </c>
    </row>
    <row r="100" spans="1:15" ht="24.75" x14ac:dyDescent="0.25">
      <c r="A100" s="2">
        <v>5575</v>
      </c>
      <c r="B100" s="2" t="s">
        <v>67</v>
      </c>
      <c r="C100" s="5">
        <v>118249</v>
      </c>
      <c r="D100" s="5">
        <f>C100-16693</f>
        <v>101556</v>
      </c>
      <c r="E100" s="5">
        <v>105989</v>
      </c>
      <c r="F100" s="5">
        <v>105989</v>
      </c>
      <c r="G100" s="5">
        <v>104628</v>
      </c>
      <c r="H100" s="5">
        <v>104628</v>
      </c>
      <c r="I100" s="5">
        <v>103835</v>
      </c>
      <c r="J100" s="5">
        <v>103835</v>
      </c>
      <c r="K100" s="5">
        <f t="shared" si="17"/>
        <v>0</v>
      </c>
      <c r="L100" s="5">
        <v>103835</v>
      </c>
      <c r="M100" s="5">
        <f t="shared" si="11"/>
        <v>0</v>
      </c>
      <c r="N100" s="4" t="s">
        <v>184</v>
      </c>
    </row>
    <row r="101" spans="1:15" ht="45.75" x14ac:dyDescent="0.25">
      <c r="A101" s="2">
        <v>5580</v>
      </c>
      <c r="B101" s="2" t="s">
        <v>68</v>
      </c>
      <c r="C101" s="5">
        <v>633720.19999999995</v>
      </c>
      <c r="D101" s="5">
        <f>C101</f>
        <v>633720.19999999995</v>
      </c>
      <c r="E101" s="5">
        <v>658245</v>
      </c>
      <c r="F101" s="5">
        <v>658245</v>
      </c>
      <c r="G101" s="5">
        <v>678750.39</v>
      </c>
      <c r="H101" s="5">
        <v>678750.39</v>
      </c>
      <c r="I101" s="5">
        <v>694290</v>
      </c>
      <c r="J101" s="5">
        <v>694290</v>
      </c>
      <c r="K101" s="5">
        <f t="shared" si="17"/>
        <v>0</v>
      </c>
      <c r="L101" s="5">
        <f>708507.05+7014.92</f>
        <v>715521.97000000009</v>
      </c>
      <c r="M101" s="5">
        <f t="shared" si="11"/>
        <v>21231.970000000088</v>
      </c>
      <c r="N101" s="4" t="s">
        <v>219</v>
      </c>
      <c r="O101" s="16" t="s">
        <v>333</v>
      </c>
    </row>
    <row r="102" spans="1:15" ht="69.75" customHeight="1" x14ac:dyDescent="0.25">
      <c r="A102" s="2">
        <v>5585</v>
      </c>
      <c r="B102" s="2" t="s">
        <v>69</v>
      </c>
      <c r="C102" s="5">
        <f>560382.95+5011+13475</f>
        <v>578868.94999999995</v>
      </c>
      <c r="D102" s="5">
        <f>685692.95+18486</f>
        <v>704178.95</v>
      </c>
      <c r="E102" s="5">
        <f>704178.95+5041+2240</f>
        <v>711459.95</v>
      </c>
      <c r="F102" s="5">
        <f>818864.08+5041+2240</f>
        <v>826145.08</v>
      </c>
      <c r="G102" s="5">
        <f>G20+4996</f>
        <v>831141.08</v>
      </c>
      <c r="H102" s="5">
        <f>585471.03+4996</f>
        <v>590467.03</v>
      </c>
      <c r="I102" s="5">
        <f>I20+7614+5146</f>
        <v>603227.03</v>
      </c>
      <c r="J102" s="5">
        <f>694349.61+7614+5146</f>
        <v>707109.61</v>
      </c>
      <c r="K102" s="5">
        <f t="shared" si="17"/>
        <v>103882.57999999996</v>
      </c>
      <c r="L102" s="5">
        <f>707109.61+1898</f>
        <v>709007.61</v>
      </c>
      <c r="M102" s="5">
        <f t="shared" si="11"/>
        <v>1898</v>
      </c>
      <c r="N102" s="15" t="s">
        <v>288</v>
      </c>
      <c r="O102" s="9" t="s">
        <v>316</v>
      </c>
    </row>
    <row r="103" spans="1:15" ht="24.75" x14ac:dyDescent="0.25">
      <c r="A103" s="2">
        <v>5586</v>
      </c>
      <c r="B103" s="2" t="s">
        <v>70</v>
      </c>
      <c r="C103" s="5">
        <v>0</v>
      </c>
      <c r="D103" s="5">
        <f>C103</f>
        <v>0</v>
      </c>
      <c r="E103" s="5">
        <v>0</v>
      </c>
      <c r="F103" s="5">
        <v>0</v>
      </c>
      <c r="G103" s="5">
        <v>0</v>
      </c>
      <c r="H103" s="5">
        <v>0</v>
      </c>
      <c r="K103" s="5">
        <f t="shared" si="17"/>
        <v>0</v>
      </c>
      <c r="L103" s="5">
        <v>0</v>
      </c>
      <c r="M103" s="5">
        <f t="shared" si="11"/>
        <v>0</v>
      </c>
      <c r="N103" s="4" t="s">
        <v>16</v>
      </c>
    </row>
    <row r="104" spans="1:15" ht="24.75" x14ac:dyDescent="0.25">
      <c r="A104" s="2">
        <v>5587</v>
      </c>
      <c r="B104" s="2" t="s">
        <v>71</v>
      </c>
      <c r="C104" s="5">
        <v>0</v>
      </c>
      <c r="D104" s="5">
        <f>C104</f>
        <v>0</v>
      </c>
      <c r="E104" s="5">
        <v>0</v>
      </c>
      <c r="F104" s="5">
        <v>0</v>
      </c>
      <c r="G104" s="5">
        <v>0</v>
      </c>
      <c r="H104" s="5">
        <v>0</v>
      </c>
      <c r="K104" s="5">
        <f t="shared" si="17"/>
        <v>0</v>
      </c>
      <c r="L104" s="5">
        <v>0</v>
      </c>
      <c r="M104" s="5">
        <f t="shared" si="11"/>
        <v>0</v>
      </c>
      <c r="N104" s="4" t="s">
        <v>16</v>
      </c>
    </row>
    <row r="105" spans="1:15" ht="48.75" x14ac:dyDescent="0.25">
      <c r="A105" s="2">
        <v>5590</v>
      </c>
      <c r="B105" s="2" t="s">
        <v>72</v>
      </c>
      <c r="C105" s="5">
        <v>448650.25</v>
      </c>
      <c r="D105" s="5">
        <f>410162.28-10000</f>
        <v>400162.28</v>
      </c>
      <c r="E105" s="5">
        <v>400162.28</v>
      </c>
      <c r="F105" s="5">
        <v>420962.99</v>
      </c>
      <c r="G105" s="5">
        <v>420962.99</v>
      </c>
      <c r="H105" s="5">
        <v>431974.02</v>
      </c>
      <c r="I105" s="5">
        <f>I21</f>
        <v>431974.02</v>
      </c>
      <c r="J105" s="5">
        <v>383824.08</v>
      </c>
      <c r="K105" s="5">
        <f t="shared" si="17"/>
        <v>-48149.94</v>
      </c>
      <c r="L105" s="5">
        <v>383824.08</v>
      </c>
      <c r="M105" s="5">
        <f t="shared" si="11"/>
        <v>0</v>
      </c>
      <c r="N105" s="15" t="s">
        <v>289</v>
      </c>
    </row>
    <row r="106" spans="1:15" ht="60.75" x14ac:dyDescent="0.25">
      <c r="A106" s="1">
        <v>5591</v>
      </c>
      <c r="B106" s="2" t="s">
        <v>180</v>
      </c>
      <c r="C106" s="5">
        <v>101190.52</v>
      </c>
      <c r="D106" s="5">
        <f>C106</f>
        <v>101190.52</v>
      </c>
      <c r="E106" s="5">
        <v>93561.600000000006</v>
      </c>
      <c r="F106" s="7">
        <v>93561.600000000006</v>
      </c>
      <c r="G106" s="5">
        <v>106553</v>
      </c>
      <c r="H106" s="5">
        <v>106553</v>
      </c>
      <c r="I106" s="5">
        <v>3179</v>
      </c>
      <c r="J106" s="5">
        <v>3179</v>
      </c>
      <c r="K106" s="5">
        <f t="shared" si="17"/>
        <v>0</v>
      </c>
      <c r="L106" s="5">
        <v>3179</v>
      </c>
      <c r="M106" s="5">
        <f t="shared" si="11"/>
        <v>0</v>
      </c>
      <c r="N106" s="4" t="s">
        <v>241</v>
      </c>
    </row>
    <row r="107" spans="1:15" ht="36.75" x14ac:dyDescent="0.25">
      <c r="A107" s="1">
        <v>5592</v>
      </c>
      <c r="B107" s="2" t="s">
        <v>181</v>
      </c>
      <c r="C107" s="5">
        <v>92000</v>
      </c>
      <c r="D107" s="5">
        <f t="shared" ref="D107:D109" si="23">C107</f>
        <v>92000</v>
      </c>
      <c r="E107" s="5">
        <v>55368</v>
      </c>
      <c r="F107" s="5">
        <v>55368</v>
      </c>
      <c r="G107" s="5">
        <v>39248</v>
      </c>
      <c r="H107" s="5">
        <v>39248</v>
      </c>
      <c r="I107" s="5">
        <v>19200</v>
      </c>
      <c r="J107" s="5">
        <v>19200</v>
      </c>
      <c r="K107" s="5">
        <f t="shared" si="17"/>
        <v>0</v>
      </c>
      <c r="L107" s="5">
        <v>19200</v>
      </c>
      <c r="M107" s="5">
        <f t="shared" si="11"/>
        <v>0</v>
      </c>
      <c r="N107" s="4" t="s">
        <v>187</v>
      </c>
    </row>
    <row r="108" spans="1:15" ht="48.75" x14ac:dyDescent="0.25">
      <c r="A108" s="1">
        <v>5595</v>
      </c>
      <c r="B108" s="2" t="s">
        <v>201</v>
      </c>
      <c r="F108" s="5">
        <v>135000</v>
      </c>
      <c r="G108" s="5">
        <v>0</v>
      </c>
      <c r="H108" s="5">
        <v>0</v>
      </c>
      <c r="K108" s="5">
        <f t="shared" si="17"/>
        <v>0</v>
      </c>
      <c r="L108" s="5">
        <v>0</v>
      </c>
      <c r="M108" s="5">
        <f t="shared" si="11"/>
        <v>0</v>
      </c>
      <c r="N108" s="4" t="s">
        <v>278</v>
      </c>
    </row>
    <row r="109" spans="1:15" ht="24.75" x14ac:dyDescent="0.25">
      <c r="A109" s="1">
        <v>9161</v>
      </c>
      <c r="B109" s="2" t="s">
        <v>73</v>
      </c>
      <c r="C109" s="5">
        <v>0</v>
      </c>
      <c r="D109" s="5">
        <f t="shared" si="23"/>
        <v>0</v>
      </c>
      <c r="E109" s="5">
        <v>0</v>
      </c>
      <c r="F109" s="5">
        <v>0</v>
      </c>
      <c r="G109" s="5">
        <v>0</v>
      </c>
      <c r="H109" s="5">
        <v>0</v>
      </c>
      <c r="K109" s="5">
        <f t="shared" si="17"/>
        <v>0</v>
      </c>
      <c r="L109" s="5">
        <v>0</v>
      </c>
      <c r="M109" s="5">
        <f t="shared" si="11"/>
        <v>0</v>
      </c>
      <c r="N109" s="4" t="s">
        <v>74</v>
      </c>
    </row>
    <row r="110" spans="1:15" x14ac:dyDescent="0.25">
      <c r="M110" s="5">
        <f t="shared" si="11"/>
        <v>0</v>
      </c>
    </row>
    <row r="111" spans="1:15" x14ac:dyDescent="0.25">
      <c r="B111" s="2" t="s">
        <v>75</v>
      </c>
      <c r="C111" s="7">
        <f>SUM(C86:C91)+SUM(C94:C109)</f>
        <v>3269573.5</v>
      </c>
      <c r="D111" s="7">
        <f>SUM(D86:D91)+SUM(D94:D109)</f>
        <v>3282702.53</v>
      </c>
      <c r="E111" s="7">
        <f>SUM(E86:E91)+SUM(E94:E109)</f>
        <v>3249050.91</v>
      </c>
      <c r="F111" s="5">
        <f>SUM(F86:F91)+SUM(F94:F109)</f>
        <v>3519536.7500000005</v>
      </c>
      <c r="G111" s="7">
        <f>SUM(G86:G91)+SUM(G94:G109)</f>
        <v>3418887.36</v>
      </c>
      <c r="H111" s="7">
        <f t="shared" ref="H111" si="24">SUM(H86:H91)+SUM(H94:H109)</f>
        <v>3189224.34</v>
      </c>
      <c r="I111" s="7">
        <f>SUM(I86:I91)+SUM(I94:I109)</f>
        <v>3114732.73</v>
      </c>
      <c r="J111" s="7">
        <f>SUM(J86:J91)+SUM(J94:J109)</f>
        <v>3170465.37</v>
      </c>
      <c r="K111" s="5">
        <f t="shared" si="17"/>
        <v>55732.64000000013</v>
      </c>
      <c r="L111" s="7">
        <f>SUM(L86:L91)+SUM(L94:L109)</f>
        <v>3240746.89</v>
      </c>
      <c r="M111" s="5">
        <f t="shared" si="11"/>
        <v>70281.520000000019</v>
      </c>
    </row>
    <row r="112" spans="1:15" x14ac:dyDescent="0.25">
      <c r="A112" s="2"/>
      <c r="M112" s="5">
        <f t="shared" si="11"/>
        <v>0</v>
      </c>
    </row>
    <row r="113" spans="1:15" x14ac:dyDescent="0.25">
      <c r="A113" s="2"/>
      <c r="B113" s="2" t="s">
        <v>76</v>
      </c>
      <c r="M113" s="5">
        <f t="shared" si="11"/>
        <v>0</v>
      </c>
    </row>
    <row r="114" spans="1:15" x14ac:dyDescent="0.25">
      <c r="M114" s="5">
        <f t="shared" si="11"/>
        <v>0</v>
      </c>
    </row>
    <row r="115" spans="1:15" ht="45.75" x14ac:dyDescent="0.25">
      <c r="A115" s="1">
        <v>5710</v>
      </c>
      <c r="B115" s="2" t="s">
        <v>77</v>
      </c>
      <c r="C115" s="5">
        <v>194514.63</v>
      </c>
      <c r="D115" s="5">
        <f>C115</f>
        <v>194514.63</v>
      </c>
      <c r="E115" s="5">
        <v>196459.78</v>
      </c>
      <c r="F115" s="5">
        <v>196459.78</v>
      </c>
      <c r="G115" s="5">
        <v>200865.82</v>
      </c>
      <c r="H115" s="5">
        <v>200865.82</v>
      </c>
      <c r="I115" s="5">
        <v>202979</v>
      </c>
      <c r="J115" s="5">
        <v>202979</v>
      </c>
      <c r="K115" s="5">
        <f t="shared" si="17"/>
        <v>0</v>
      </c>
      <c r="L115" s="5">
        <f>167149.7+1654.95</f>
        <v>168804.65000000002</v>
      </c>
      <c r="M115" s="5">
        <f t="shared" si="11"/>
        <v>-34174.349999999977</v>
      </c>
      <c r="N115" s="4" t="s">
        <v>218</v>
      </c>
      <c r="O115" s="16" t="s">
        <v>335</v>
      </c>
    </row>
    <row r="116" spans="1:15" ht="24.75" x14ac:dyDescent="0.25">
      <c r="A116" s="1">
        <v>5740</v>
      </c>
      <c r="B116" s="2" t="s">
        <v>78</v>
      </c>
      <c r="C116" s="5">
        <v>2000</v>
      </c>
      <c r="D116" s="5">
        <f t="shared" ref="D116:D119" si="25">C116</f>
        <v>2000</v>
      </c>
      <c r="E116" s="5">
        <v>2000</v>
      </c>
      <c r="F116" s="9">
        <v>2000</v>
      </c>
      <c r="G116" s="5">
        <v>2000</v>
      </c>
      <c r="H116" s="5">
        <v>2000</v>
      </c>
      <c r="I116" s="5">
        <v>2400</v>
      </c>
      <c r="J116" s="5">
        <v>2400</v>
      </c>
      <c r="K116" s="5">
        <f t="shared" si="17"/>
        <v>0</v>
      </c>
      <c r="L116" s="5">
        <v>2400</v>
      </c>
      <c r="M116" s="5">
        <f t="shared" si="11"/>
        <v>0</v>
      </c>
      <c r="N116" s="4" t="s">
        <v>214</v>
      </c>
    </row>
    <row r="117" spans="1:15" x14ac:dyDescent="0.25">
      <c r="A117" s="1">
        <v>5750</v>
      </c>
      <c r="B117" s="2" t="s">
        <v>79</v>
      </c>
      <c r="C117" s="5">
        <v>600</v>
      </c>
      <c r="D117" s="5">
        <f t="shared" si="25"/>
        <v>600</v>
      </c>
      <c r="E117" s="5">
        <v>600</v>
      </c>
      <c r="F117" s="5">
        <v>600</v>
      </c>
      <c r="G117" s="5">
        <v>600</v>
      </c>
      <c r="H117" s="5">
        <v>600</v>
      </c>
      <c r="I117" s="5">
        <v>200</v>
      </c>
      <c r="J117" s="5">
        <v>200</v>
      </c>
      <c r="K117" s="5">
        <f t="shared" si="17"/>
        <v>0</v>
      </c>
      <c r="L117" s="5">
        <v>200</v>
      </c>
      <c r="M117" s="5">
        <f t="shared" si="11"/>
        <v>0</v>
      </c>
      <c r="N117" s="4" t="s">
        <v>215</v>
      </c>
    </row>
    <row r="118" spans="1:15" ht="36.75" x14ac:dyDescent="0.25">
      <c r="A118" s="1">
        <v>5760</v>
      </c>
      <c r="B118" s="2" t="s">
        <v>80</v>
      </c>
      <c r="C118" s="5">
        <v>18000</v>
      </c>
      <c r="D118" s="5">
        <f t="shared" si="25"/>
        <v>18000</v>
      </c>
      <c r="E118" s="5">
        <v>21000</v>
      </c>
      <c r="F118" s="5">
        <v>21000</v>
      </c>
      <c r="G118" s="5">
        <v>21000</v>
      </c>
      <c r="H118" s="5">
        <v>21000</v>
      </c>
      <c r="I118" s="5">
        <v>21000</v>
      </c>
      <c r="J118" s="5">
        <v>21000</v>
      </c>
      <c r="K118" s="5">
        <f t="shared" si="17"/>
        <v>0</v>
      </c>
      <c r="L118" s="5">
        <v>21000</v>
      </c>
      <c r="M118" s="5">
        <f t="shared" si="11"/>
        <v>0</v>
      </c>
      <c r="N118" s="4" t="s">
        <v>279</v>
      </c>
    </row>
    <row r="119" spans="1:15" x14ac:dyDescent="0.25">
      <c r="A119" s="1">
        <v>5770</v>
      </c>
      <c r="B119" s="2" t="s">
        <v>81</v>
      </c>
      <c r="C119" s="5">
        <v>0</v>
      </c>
      <c r="D119" s="5">
        <f t="shared" si="25"/>
        <v>0</v>
      </c>
      <c r="E119" s="5">
        <v>0</v>
      </c>
      <c r="F119" s="5">
        <v>0</v>
      </c>
      <c r="G119" s="5">
        <v>0</v>
      </c>
      <c r="H119" s="5">
        <v>0</v>
      </c>
      <c r="I119" s="5">
        <v>0</v>
      </c>
      <c r="J119" s="5">
        <v>0</v>
      </c>
      <c r="K119" s="5">
        <f t="shared" si="17"/>
        <v>0</v>
      </c>
      <c r="L119" s="5">
        <v>0</v>
      </c>
      <c r="M119" s="5">
        <f t="shared" si="11"/>
        <v>0</v>
      </c>
    </row>
    <row r="120" spans="1:15" x14ac:dyDescent="0.25">
      <c r="A120" s="2"/>
      <c r="M120" s="5">
        <f t="shared" si="11"/>
        <v>0</v>
      </c>
    </row>
    <row r="121" spans="1:15" x14ac:dyDescent="0.25">
      <c r="A121" s="2"/>
      <c r="B121" s="2" t="s">
        <v>82</v>
      </c>
      <c r="C121" s="11">
        <f t="shared" ref="C121:J121" si="26">SUM(C115:C119)</f>
        <v>215114.63</v>
      </c>
      <c r="D121" s="11">
        <f t="shared" si="26"/>
        <v>215114.63</v>
      </c>
      <c r="E121" s="11">
        <f t="shared" si="26"/>
        <v>220059.78</v>
      </c>
      <c r="F121" s="13">
        <f t="shared" ref="F121" si="27">SUM(F115:F119)</f>
        <v>220059.78</v>
      </c>
      <c r="G121" s="11">
        <f t="shared" si="26"/>
        <v>224465.82</v>
      </c>
      <c r="H121" s="11">
        <f t="shared" ref="H121" si="28">SUM(H115:H119)</f>
        <v>224465.82</v>
      </c>
      <c r="I121" s="11">
        <f t="shared" si="26"/>
        <v>226579</v>
      </c>
      <c r="J121" s="11">
        <f t="shared" si="26"/>
        <v>226579</v>
      </c>
      <c r="K121" s="5">
        <f t="shared" si="17"/>
        <v>0</v>
      </c>
      <c r="L121" s="9">
        <f>SUM(L115:L119)</f>
        <v>192404.65000000002</v>
      </c>
      <c r="M121" s="5">
        <f t="shared" si="11"/>
        <v>-34174.349999999977</v>
      </c>
    </row>
    <row r="122" spans="1:15" x14ac:dyDescent="0.25">
      <c r="A122" s="2"/>
      <c r="M122" s="5"/>
    </row>
    <row r="123" spans="1:15" x14ac:dyDescent="0.25">
      <c r="A123" s="2"/>
      <c r="B123" s="2" t="s">
        <v>83</v>
      </c>
      <c r="M123" s="5"/>
    </row>
    <row r="124" spans="1:15" x14ac:dyDescent="0.25">
      <c r="A124" s="2"/>
      <c r="M124" s="5"/>
    </row>
    <row r="125" spans="1:15" ht="57" x14ac:dyDescent="0.25">
      <c r="A125" s="2">
        <v>6010</v>
      </c>
      <c r="B125" s="2" t="s">
        <v>84</v>
      </c>
      <c r="C125" s="5">
        <v>169962.57</v>
      </c>
      <c r="D125" s="5">
        <f>C125+31965+20300-400</f>
        <v>221827.57</v>
      </c>
      <c r="E125" s="5">
        <v>259821.13</v>
      </c>
      <c r="F125" s="5">
        <v>259821.13</v>
      </c>
      <c r="G125" s="5">
        <v>263531.57</v>
      </c>
      <c r="H125" s="5">
        <v>263531.57</v>
      </c>
      <c r="I125" s="5">
        <v>272065</v>
      </c>
      <c r="J125" s="5">
        <v>272065</v>
      </c>
      <c r="K125" s="5">
        <f t="shared" si="17"/>
        <v>0</v>
      </c>
      <c r="L125" s="5">
        <f>317885.79+3147.38</f>
        <v>321033.17</v>
      </c>
      <c r="M125" s="5">
        <f t="shared" ref="M125:M153" si="29">L125-J125</f>
        <v>48968.169999999984</v>
      </c>
      <c r="N125" s="4" t="s">
        <v>217</v>
      </c>
      <c r="O125" s="16" t="s">
        <v>334</v>
      </c>
    </row>
    <row r="126" spans="1:15" ht="126.75" customHeight="1" x14ac:dyDescent="0.25">
      <c r="A126" s="1">
        <v>6040</v>
      </c>
      <c r="B126" s="2" t="s">
        <v>85</v>
      </c>
      <c r="C126" s="5">
        <v>30000</v>
      </c>
      <c r="D126" s="5">
        <f>C126</f>
        <v>30000</v>
      </c>
      <c r="E126" s="5">
        <v>36888</v>
      </c>
      <c r="F126" s="7">
        <v>36888</v>
      </c>
      <c r="G126" s="5">
        <v>36888</v>
      </c>
      <c r="H126" s="5">
        <v>26000</v>
      </c>
      <c r="I126" s="5">
        <v>31241.39</v>
      </c>
      <c r="J126" s="5">
        <v>20563.39</v>
      </c>
      <c r="K126" s="5">
        <f t="shared" si="17"/>
        <v>-10678</v>
      </c>
      <c r="L126" s="25">
        <v>28000</v>
      </c>
      <c r="M126" s="5">
        <f t="shared" si="29"/>
        <v>7436.6100000000006</v>
      </c>
      <c r="N126" s="21" t="s">
        <v>290</v>
      </c>
      <c r="O126" s="27" t="s">
        <v>324</v>
      </c>
    </row>
    <row r="127" spans="1:15" ht="72" customHeight="1" x14ac:dyDescent="0.25">
      <c r="A127" s="1">
        <v>6050</v>
      </c>
      <c r="B127" s="2" t="s">
        <v>86</v>
      </c>
      <c r="C127" s="5">
        <v>18000</v>
      </c>
      <c r="D127" s="5">
        <f>C127+1000</f>
        <v>19000</v>
      </c>
      <c r="E127" s="5">
        <v>19000</v>
      </c>
      <c r="F127" s="5">
        <v>19000</v>
      </c>
      <c r="G127" s="5">
        <v>19000</v>
      </c>
      <c r="H127" s="5">
        <v>10000</v>
      </c>
      <c r="I127" s="5">
        <v>14000</v>
      </c>
      <c r="J127" s="5">
        <v>3000</v>
      </c>
      <c r="K127" s="5">
        <f t="shared" si="17"/>
        <v>-11000</v>
      </c>
      <c r="L127" s="25">
        <v>12000</v>
      </c>
      <c r="M127" s="5">
        <f t="shared" si="29"/>
        <v>9000</v>
      </c>
      <c r="N127" s="15" t="s">
        <v>291</v>
      </c>
      <c r="O127" s="27" t="s">
        <v>324</v>
      </c>
    </row>
    <row r="128" spans="1:15" ht="24.75" x14ac:dyDescent="0.25">
      <c r="A128" s="1">
        <v>6060</v>
      </c>
      <c r="B128" s="2" t="s">
        <v>171</v>
      </c>
      <c r="D128" s="5">
        <v>317.5</v>
      </c>
      <c r="E128" s="5">
        <v>2287.5</v>
      </c>
      <c r="F128" s="5">
        <v>2287.5</v>
      </c>
      <c r="G128" s="5">
        <v>2287.5</v>
      </c>
      <c r="H128" s="5">
        <v>2287.5</v>
      </c>
      <c r="I128" s="5">
        <v>2287.5</v>
      </c>
      <c r="J128" s="5">
        <v>2287.5</v>
      </c>
      <c r="K128" s="5">
        <f t="shared" si="17"/>
        <v>0</v>
      </c>
      <c r="L128" s="5">
        <v>787.5</v>
      </c>
      <c r="M128" s="5">
        <f t="shared" si="29"/>
        <v>-1500</v>
      </c>
      <c r="N128" s="4" t="s">
        <v>193</v>
      </c>
    </row>
    <row r="129" spans="1:15" ht="36.75" x14ac:dyDescent="0.25">
      <c r="A129" s="1">
        <v>6070</v>
      </c>
      <c r="B129" s="2" t="s">
        <v>172</v>
      </c>
      <c r="D129" s="5">
        <f>317.5+400</f>
        <v>717.5</v>
      </c>
      <c r="E129" s="5">
        <v>2287.5</v>
      </c>
      <c r="F129" s="5">
        <v>2287.5</v>
      </c>
      <c r="G129" s="5">
        <v>5287.5</v>
      </c>
      <c r="H129" s="5">
        <v>5287.5</v>
      </c>
      <c r="I129" s="5">
        <v>2287.5</v>
      </c>
      <c r="J129" s="5">
        <v>2287.5</v>
      </c>
      <c r="K129" s="5">
        <f t="shared" si="17"/>
        <v>0</v>
      </c>
      <c r="L129" s="5">
        <v>1287.5</v>
      </c>
      <c r="M129" s="5">
        <f t="shared" si="29"/>
        <v>-1000</v>
      </c>
      <c r="N129" s="4" t="s">
        <v>232</v>
      </c>
    </row>
    <row r="130" spans="1:15" x14ac:dyDescent="0.25">
      <c r="M130" s="5">
        <f t="shared" si="29"/>
        <v>0</v>
      </c>
    </row>
    <row r="131" spans="1:15" ht="23.25" x14ac:dyDescent="0.25">
      <c r="B131" s="2" t="s">
        <v>87</v>
      </c>
      <c r="C131" s="12">
        <f t="shared" ref="C131" si="30">SUM(C125:C127)</f>
        <v>217962.57</v>
      </c>
      <c r="D131" s="7">
        <f t="shared" ref="D131:J131" si="31">SUM(D125:D129)</f>
        <v>271862.57</v>
      </c>
      <c r="E131" s="7">
        <f t="shared" si="31"/>
        <v>320284.13</v>
      </c>
      <c r="F131" s="5">
        <f t="shared" si="31"/>
        <v>320284.13</v>
      </c>
      <c r="G131" s="7">
        <f t="shared" si="31"/>
        <v>326994.57</v>
      </c>
      <c r="H131" s="7">
        <f t="shared" si="31"/>
        <v>307106.57</v>
      </c>
      <c r="I131" s="7">
        <f t="shared" si="31"/>
        <v>321881.39</v>
      </c>
      <c r="J131" s="7">
        <f t="shared" si="31"/>
        <v>300203.39</v>
      </c>
      <c r="K131" s="5">
        <f t="shared" si="17"/>
        <v>-21678</v>
      </c>
      <c r="L131" s="7">
        <f>SUM(L125:L129)</f>
        <v>363108.17</v>
      </c>
      <c r="M131" s="5">
        <f t="shared" si="29"/>
        <v>62904.77999999997</v>
      </c>
      <c r="O131" s="16" t="s">
        <v>309</v>
      </c>
    </row>
    <row r="132" spans="1:15" x14ac:dyDescent="0.25">
      <c r="A132" s="2"/>
      <c r="M132" s="5">
        <f t="shared" si="29"/>
        <v>0</v>
      </c>
    </row>
    <row r="133" spans="1:15" x14ac:dyDescent="0.25">
      <c r="A133" s="2"/>
      <c r="B133" s="2" t="s">
        <v>88</v>
      </c>
      <c r="M133" s="5">
        <f t="shared" si="29"/>
        <v>0</v>
      </c>
    </row>
    <row r="134" spans="1:15" x14ac:dyDescent="0.25">
      <c r="A134" s="2"/>
      <c r="M134" s="5">
        <f t="shared" si="29"/>
        <v>0</v>
      </c>
    </row>
    <row r="135" spans="1:15" ht="36.75" x14ac:dyDescent="0.25">
      <c r="A135" s="2">
        <v>7010</v>
      </c>
      <c r="B135" s="2" t="s">
        <v>89</v>
      </c>
      <c r="C135" s="5">
        <v>20000</v>
      </c>
      <c r="D135" s="5">
        <f>C135-5000</f>
        <v>15000</v>
      </c>
      <c r="E135" s="5">
        <v>15000</v>
      </c>
      <c r="F135" s="5">
        <v>15000</v>
      </c>
      <c r="G135" s="5">
        <v>15000</v>
      </c>
      <c r="H135" s="5">
        <v>15000</v>
      </c>
      <c r="I135" s="5">
        <v>15000</v>
      </c>
      <c r="J135" s="5">
        <v>15000</v>
      </c>
      <c r="K135" s="5">
        <f t="shared" ref="K135:K163" si="32">J135-I135</f>
        <v>0</v>
      </c>
      <c r="L135" s="25">
        <v>15000</v>
      </c>
      <c r="M135" s="5">
        <f t="shared" si="29"/>
        <v>0</v>
      </c>
      <c r="N135" s="4" t="s">
        <v>190</v>
      </c>
      <c r="O135" s="27" t="s">
        <v>324</v>
      </c>
    </row>
    <row r="136" spans="1:15" x14ac:dyDescent="0.25">
      <c r="A136" s="1">
        <v>7030</v>
      </c>
      <c r="B136" s="2" t="s">
        <v>90</v>
      </c>
      <c r="C136" s="5">
        <v>2000</v>
      </c>
      <c r="D136" s="5">
        <f>C136</f>
        <v>2000</v>
      </c>
      <c r="E136" s="5">
        <f>D136</f>
        <v>2000</v>
      </c>
      <c r="F136" s="5">
        <v>2000</v>
      </c>
      <c r="G136" s="5">
        <v>2000</v>
      </c>
      <c r="H136" s="5">
        <v>2000</v>
      </c>
      <c r="I136" s="5">
        <v>2000</v>
      </c>
      <c r="J136" s="5">
        <v>2000</v>
      </c>
      <c r="K136" s="5">
        <f t="shared" si="32"/>
        <v>0</v>
      </c>
      <c r="L136" s="5">
        <v>2000</v>
      </c>
      <c r="M136" s="5">
        <f t="shared" si="29"/>
        <v>0</v>
      </c>
    </row>
    <row r="137" spans="1:15" ht="36.75" x14ac:dyDescent="0.25">
      <c r="A137" s="1">
        <v>7050</v>
      </c>
      <c r="B137" s="2" t="s">
        <v>91</v>
      </c>
      <c r="C137" s="5">
        <v>3250</v>
      </c>
      <c r="D137" s="5">
        <f t="shared" ref="D137:E139" si="33">C137</f>
        <v>3250</v>
      </c>
      <c r="E137" s="5">
        <f t="shared" si="33"/>
        <v>3250</v>
      </c>
      <c r="F137" s="5">
        <v>3250</v>
      </c>
      <c r="G137" s="5">
        <v>3523</v>
      </c>
      <c r="H137" s="5">
        <v>3523</v>
      </c>
      <c r="I137" s="5">
        <v>3523</v>
      </c>
      <c r="J137" s="5">
        <v>3523</v>
      </c>
      <c r="K137" s="5">
        <f t="shared" si="32"/>
        <v>0</v>
      </c>
      <c r="L137" s="5">
        <v>3523</v>
      </c>
      <c r="M137" s="5">
        <f t="shared" si="29"/>
        <v>0</v>
      </c>
      <c r="N137" s="4" t="s">
        <v>194</v>
      </c>
    </row>
    <row r="138" spans="1:15" ht="24.75" x14ac:dyDescent="0.25">
      <c r="A138" s="1">
        <v>7070</v>
      </c>
      <c r="B138" s="2" t="s">
        <v>92</v>
      </c>
      <c r="C138" s="5">
        <v>21000</v>
      </c>
      <c r="D138" s="5">
        <f t="shared" si="33"/>
        <v>21000</v>
      </c>
      <c r="E138" s="5">
        <f t="shared" si="33"/>
        <v>21000</v>
      </c>
      <c r="F138" s="5">
        <v>21000</v>
      </c>
      <c r="G138" s="5">
        <v>21000</v>
      </c>
      <c r="H138" s="5">
        <v>21000</v>
      </c>
      <c r="I138" s="5">
        <v>21000</v>
      </c>
      <c r="J138" s="5">
        <v>21000</v>
      </c>
      <c r="K138" s="5">
        <f t="shared" si="32"/>
        <v>0</v>
      </c>
      <c r="L138" s="5">
        <v>16000</v>
      </c>
      <c r="M138" s="5">
        <f t="shared" si="29"/>
        <v>-5000</v>
      </c>
      <c r="O138" s="16" t="s">
        <v>323</v>
      </c>
    </row>
    <row r="139" spans="1:15" ht="24.75" x14ac:dyDescent="0.25">
      <c r="A139" s="1">
        <v>7090</v>
      </c>
      <c r="B139" s="2" t="s">
        <v>93</v>
      </c>
      <c r="C139" s="5">
        <v>1000</v>
      </c>
      <c r="D139" s="5">
        <f t="shared" si="33"/>
        <v>1000</v>
      </c>
      <c r="E139" s="5">
        <f t="shared" si="33"/>
        <v>1000</v>
      </c>
      <c r="F139" s="5">
        <v>1000</v>
      </c>
      <c r="G139" s="5">
        <v>1500</v>
      </c>
      <c r="H139" s="5">
        <v>750</v>
      </c>
      <c r="I139" s="5">
        <v>1500</v>
      </c>
      <c r="J139" s="5">
        <v>1500</v>
      </c>
      <c r="K139" s="5">
        <f t="shared" si="32"/>
        <v>0</v>
      </c>
      <c r="L139" s="25">
        <v>1000</v>
      </c>
      <c r="M139" s="5">
        <f t="shared" si="29"/>
        <v>-500</v>
      </c>
      <c r="N139" s="4" t="s">
        <v>243</v>
      </c>
      <c r="O139" s="27" t="s">
        <v>324</v>
      </c>
    </row>
    <row r="140" spans="1:15" x14ac:dyDescent="0.25">
      <c r="A140" s="2"/>
      <c r="M140" s="5">
        <f t="shared" si="29"/>
        <v>0</v>
      </c>
    </row>
    <row r="141" spans="1:15" ht="23.25" x14ac:dyDescent="0.25">
      <c r="A141" s="2"/>
      <c r="B141" s="2" t="s">
        <v>94</v>
      </c>
      <c r="C141" s="11">
        <f t="shared" ref="C141:J141" si="34">SUM(C135:C139)</f>
        <v>47250</v>
      </c>
      <c r="D141" s="11">
        <f t="shared" si="34"/>
        <v>42250</v>
      </c>
      <c r="E141" s="11">
        <f t="shared" si="34"/>
        <v>42250</v>
      </c>
      <c r="F141" s="11">
        <f t="shared" si="34"/>
        <v>42250</v>
      </c>
      <c r="G141" s="11">
        <f t="shared" si="34"/>
        <v>43023</v>
      </c>
      <c r="H141" s="11">
        <f t="shared" si="34"/>
        <v>42273</v>
      </c>
      <c r="I141" s="11">
        <f t="shared" si="34"/>
        <v>43023</v>
      </c>
      <c r="J141" s="11">
        <f t="shared" si="34"/>
        <v>43023</v>
      </c>
      <c r="K141" s="5">
        <f t="shared" si="32"/>
        <v>0</v>
      </c>
      <c r="L141" s="9">
        <f>SUM(L135:L139)</f>
        <v>37523</v>
      </c>
      <c r="M141" s="5">
        <f t="shared" si="29"/>
        <v>-5500</v>
      </c>
      <c r="O141" s="16" t="s">
        <v>309</v>
      </c>
    </row>
    <row r="142" spans="1:15" x14ac:dyDescent="0.25">
      <c r="A142" s="2"/>
      <c r="M142" s="5">
        <f t="shared" si="29"/>
        <v>0</v>
      </c>
    </row>
    <row r="143" spans="1:15" x14ac:dyDescent="0.25">
      <c r="A143" s="2"/>
      <c r="B143" s="2" t="s">
        <v>95</v>
      </c>
      <c r="M143" s="5">
        <f t="shared" si="29"/>
        <v>0</v>
      </c>
    </row>
    <row r="144" spans="1:15" x14ac:dyDescent="0.25">
      <c r="A144" s="2"/>
      <c r="M144" s="5">
        <f t="shared" si="29"/>
        <v>0</v>
      </c>
    </row>
    <row r="145" spans="1:15" ht="24.75" x14ac:dyDescent="0.25">
      <c r="A145" s="2">
        <v>7210</v>
      </c>
      <c r="B145" s="2" t="s">
        <v>96</v>
      </c>
      <c r="C145" s="5">
        <v>92000</v>
      </c>
      <c r="D145" s="5">
        <f>C145</f>
        <v>92000</v>
      </c>
      <c r="E145" s="5">
        <f>86000+4422</f>
        <v>90422</v>
      </c>
      <c r="F145" s="5">
        <f>86000+4422</f>
        <v>90422</v>
      </c>
      <c r="G145" s="5">
        <v>85000</v>
      </c>
      <c r="H145" s="5">
        <v>60000</v>
      </c>
      <c r="I145" s="5">
        <v>81000</v>
      </c>
      <c r="J145" s="5">
        <v>81000</v>
      </c>
      <c r="K145" s="5">
        <f t="shared" si="32"/>
        <v>0</v>
      </c>
      <c r="L145" s="5">
        <v>85000</v>
      </c>
      <c r="M145" s="5">
        <f t="shared" si="29"/>
        <v>4000</v>
      </c>
      <c r="N145" s="4" t="s">
        <v>234</v>
      </c>
    </row>
    <row r="146" spans="1:15" ht="113.25" x14ac:dyDescent="0.25">
      <c r="A146" s="1">
        <v>7220</v>
      </c>
      <c r="B146" s="2" t="s">
        <v>97</v>
      </c>
      <c r="C146" s="5">
        <v>1035386</v>
      </c>
      <c r="D146" s="5">
        <f t="shared" ref="D146:D151" si="35">C146</f>
        <v>1035386</v>
      </c>
      <c r="E146" s="5">
        <v>1044125</v>
      </c>
      <c r="F146" s="5">
        <v>1044125</v>
      </c>
      <c r="G146" s="5">
        <v>1049887.6299999999</v>
      </c>
      <c r="H146" s="5">
        <f>1049887.63-6000</f>
        <v>1043887.6299999999</v>
      </c>
      <c r="I146" s="5">
        <v>1000000</v>
      </c>
      <c r="J146" s="5">
        <v>1000000</v>
      </c>
      <c r="K146" s="5">
        <f t="shared" si="32"/>
        <v>0</v>
      </c>
      <c r="L146" s="5">
        <f>1036394.25+10261.33-100000</f>
        <v>946655.58</v>
      </c>
      <c r="M146" s="5">
        <f t="shared" si="29"/>
        <v>-53344.420000000042</v>
      </c>
      <c r="N146" s="4" t="s">
        <v>235</v>
      </c>
      <c r="O146" s="16" t="s">
        <v>346</v>
      </c>
    </row>
    <row r="147" spans="1:15" ht="24.75" x14ac:dyDescent="0.25">
      <c r="A147" s="1">
        <v>7260</v>
      </c>
      <c r="B147" s="2" t="s">
        <v>98</v>
      </c>
      <c r="C147" s="5">
        <v>76000</v>
      </c>
      <c r="D147" s="5">
        <f t="shared" si="35"/>
        <v>76000</v>
      </c>
      <c r="E147" s="5">
        <v>76500</v>
      </c>
      <c r="F147" s="5">
        <v>76500</v>
      </c>
      <c r="G147" s="5">
        <v>68773</v>
      </c>
      <c r="H147" s="5">
        <v>68773</v>
      </c>
      <c r="I147" s="5">
        <v>73000</v>
      </c>
      <c r="J147" s="5">
        <v>73000</v>
      </c>
      <c r="K147" s="5">
        <f t="shared" si="32"/>
        <v>0</v>
      </c>
      <c r="L147" s="5">
        <v>73000</v>
      </c>
      <c r="M147" s="5">
        <f t="shared" si="29"/>
        <v>0</v>
      </c>
    </row>
    <row r="148" spans="1:15" x14ac:dyDescent="0.25">
      <c r="A148" s="1">
        <v>7270</v>
      </c>
      <c r="B148" s="2" t="s">
        <v>99</v>
      </c>
      <c r="C148" s="5">
        <v>8000</v>
      </c>
      <c r="D148" s="5">
        <f t="shared" si="35"/>
        <v>8000</v>
      </c>
      <c r="E148" s="5">
        <v>8000</v>
      </c>
      <c r="F148" s="9">
        <v>8000</v>
      </c>
      <c r="G148" s="5">
        <v>8000</v>
      </c>
      <c r="H148" s="5">
        <v>8000</v>
      </c>
      <c r="I148" s="5">
        <v>7500</v>
      </c>
      <c r="J148" s="5">
        <v>7500</v>
      </c>
      <c r="K148" s="5">
        <f t="shared" si="32"/>
        <v>0</v>
      </c>
      <c r="L148" s="5">
        <v>7500</v>
      </c>
      <c r="M148" s="5">
        <f t="shared" si="29"/>
        <v>0</v>
      </c>
    </row>
    <row r="149" spans="1:15" ht="24.75" x14ac:dyDescent="0.25">
      <c r="A149" s="1">
        <v>7280</v>
      </c>
      <c r="B149" s="2" t="s">
        <v>100</v>
      </c>
      <c r="C149" s="5">
        <v>0</v>
      </c>
      <c r="D149" s="5">
        <f t="shared" si="35"/>
        <v>0</v>
      </c>
      <c r="E149" s="5">
        <v>0</v>
      </c>
      <c r="F149" s="5">
        <v>0</v>
      </c>
      <c r="G149" s="5">
        <v>0</v>
      </c>
      <c r="H149" s="5">
        <v>0</v>
      </c>
      <c r="I149" s="5">
        <v>0</v>
      </c>
      <c r="J149" s="5">
        <v>0</v>
      </c>
      <c r="K149" s="5">
        <f t="shared" si="32"/>
        <v>0</v>
      </c>
      <c r="L149" s="5">
        <v>0</v>
      </c>
      <c r="M149" s="5">
        <f t="shared" si="29"/>
        <v>0</v>
      </c>
      <c r="N149" s="4" t="s">
        <v>236</v>
      </c>
    </row>
    <row r="150" spans="1:15" x14ac:dyDescent="0.25">
      <c r="A150" s="2">
        <v>7290</v>
      </c>
      <c r="B150" s="2" t="s">
        <v>101</v>
      </c>
      <c r="C150" s="5">
        <v>44101</v>
      </c>
      <c r="D150" s="5">
        <f t="shared" si="35"/>
        <v>44101</v>
      </c>
      <c r="E150" s="5">
        <v>45425</v>
      </c>
      <c r="F150" s="5">
        <v>45425</v>
      </c>
      <c r="G150" s="5">
        <v>46800</v>
      </c>
      <c r="H150" s="5">
        <v>46800</v>
      </c>
      <c r="I150" s="5">
        <v>46800</v>
      </c>
      <c r="J150" s="5">
        <v>46800</v>
      </c>
      <c r="K150" s="5">
        <f t="shared" si="32"/>
        <v>0</v>
      </c>
      <c r="L150" s="5">
        <v>71120</v>
      </c>
      <c r="M150" s="5">
        <f t="shared" si="29"/>
        <v>24320</v>
      </c>
      <c r="N150" s="4" t="s">
        <v>252</v>
      </c>
    </row>
    <row r="151" spans="1:15" ht="24.6" customHeight="1" x14ac:dyDescent="0.25">
      <c r="A151" s="2">
        <v>7295</v>
      </c>
      <c r="B151" s="2" t="s">
        <v>300</v>
      </c>
      <c r="C151" s="5">
        <v>185000</v>
      </c>
      <c r="D151" s="5">
        <f t="shared" si="35"/>
        <v>185000</v>
      </c>
      <c r="E151" s="5">
        <v>185500</v>
      </c>
      <c r="F151" s="5">
        <v>185500</v>
      </c>
      <c r="G151" s="5">
        <v>186000</v>
      </c>
      <c r="H151" s="5">
        <v>186000</v>
      </c>
      <c r="I151" s="5">
        <v>184000</v>
      </c>
      <c r="J151" s="5">
        <f>184000-169645.69</f>
        <v>14354.309999999998</v>
      </c>
      <c r="K151" s="5">
        <f t="shared" si="32"/>
        <v>-169645.69</v>
      </c>
      <c r="L151" s="5">
        <v>13657.89</v>
      </c>
      <c r="M151" s="5">
        <f t="shared" si="29"/>
        <v>-696.41999999999825</v>
      </c>
      <c r="N151" s="15" t="s">
        <v>302</v>
      </c>
      <c r="O151" s="4" t="s">
        <v>302</v>
      </c>
    </row>
    <row r="152" spans="1:15" ht="24.75" x14ac:dyDescent="0.25">
      <c r="A152" s="2">
        <v>7296</v>
      </c>
      <c r="B152" s="2" t="s">
        <v>301</v>
      </c>
      <c r="J152" s="5">
        <v>169645.69</v>
      </c>
      <c r="K152" s="5">
        <f t="shared" si="32"/>
        <v>169645.69</v>
      </c>
      <c r="L152" s="5">
        <v>171342.11</v>
      </c>
      <c r="M152" s="5">
        <f t="shared" si="29"/>
        <v>1696.4199999999837</v>
      </c>
      <c r="N152" s="15" t="s">
        <v>302</v>
      </c>
      <c r="O152" s="4" t="s">
        <v>302</v>
      </c>
    </row>
    <row r="153" spans="1:15" ht="24.75" x14ac:dyDescent="0.25">
      <c r="A153" s="2">
        <v>7297</v>
      </c>
      <c r="B153" s="2" t="s">
        <v>204</v>
      </c>
      <c r="G153" s="5">
        <f>35240.66-4444</f>
        <v>30796.660000000003</v>
      </c>
      <c r="H153" s="5">
        <v>0</v>
      </c>
      <c r="I153" s="5">
        <v>35241</v>
      </c>
      <c r="J153" s="5">
        <v>35241</v>
      </c>
      <c r="K153" s="5">
        <f t="shared" si="32"/>
        <v>0</v>
      </c>
      <c r="L153" s="5">
        <v>0</v>
      </c>
      <c r="M153" s="5">
        <f t="shared" si="29"/>
        <v>-35241</v>
      </c>
      <c r="N153" s="4" t="s">
        <v>237</v>
      </c>
      <c r="O153" s="16" t="s">
        <v>310</v>
      </c>
    </row>
    <row r="154" spans="1:15" x14ac:dyDescent="0.25">
      <c r="A154" s="2"/>
      <c r="K154" s="5">
        <f t="shared" si="32"/>
        <v>0</v>
      </c>
      <c r="M154" s="5">
        <f t="shared" ref="M154:M219" si="36">L154-J154</f>
        <v>0</v>
      </c>
    </row>
    <row r="155" spans="1:15" x14ac:dyDescent="0.25">
      <c r="A155" s="2"/>
      <c r="B155" s="2" t="s">
        <v>102</v>
      </c>
      <c r="C155" s="11">
        <f t="shared" ref="C155:E155" si="37">SUM(C145:C151)</f>
        <v>1440487</v>
      </c>
      <c r="D155" s="11">
        <f t="shared" si="37"/>
        <v>1440487</v>
      </c>
      <c r="E155" s="11">
        <f t="shared" si="37"/>
        <v>1449972</v>
      </c>
      <c r="F155" s="13">
        <f>SUM(F145:F151)</f>
        <v>1449972</v>
      </c>
      <c r="G155" s="9">
        <f>SUM(G145:G153)</f>
        <v>1475257.2899999998</v>
      </c>
      <c r="H155" s="9">
        <f>SUM(H145:H153)</f>
        <v>1413460.63</v>
      </c>
      <c r="I155" s="9">
        <f>SUM(I145:I153)</f>
        <v>1427541</v>
      </c>
      <c r="J155" s="9">
        <f>SUM(J145:J153)</f>
        <v>1427541</v>
      </c>
      <c r="K155" s="5">
        <f t="shared" si="32"/>
        <v>0</v>
      </c>
      <c r="L155" s="9">
        <f>SUM(L145:L153)</f>
        <v>1368275.58</v>
      </c>
      <c r="M155" s="5">
        <f t="shared" si="36"/>
        <v>-59265.419999999925</v>
      </c>
    </row>
    <row r="156" spans="1:15" x14ac:dyDescent="0.25">
      <c r="A156" s="2"/>
      <c r="M156" s="5">
        <f t="shared" si="36"/>
        <v>0</v>
      </c>
    </row>
    <row r="157" spans="1:15" x14ac:dyDescent="0.25">
      <c r="A157" s="2"/>
      <c r="B157" s="2" t="s">
        <v>103</v>
      </c>
      <c r="M157" s="5">
        <f t="shared" si="36"/>
        <v>0</v>
      </c>
    </row>
    <row r="158" spans="1:15" x14ac:dyDescent="0.25">
      <c r="A158" s="2"/>
      <c r="M158" s="5">
        <f t="shared" si="36"/>
        <v>0</v>
      </c>
    </row>
    <row r="159" spans="1:15" ht="24.75" x14ac:dyDescent="0.25">
      <c r="A159" s="2">
        <v>7430</v>
      </c>
      <c r="B159" s="2" t="s">
        <v>182</v>
      </c>
      <c r="C159" s="5">
        <v>31275</v>
      </c>
      <c r="D159" s="5">
        <f>C159</f>
        <v>31275</v>
      </c>
      <c r="E159" s="5">
        <f>D159</f>
        <v>31275</v>
      </c>
      <c r="F159" s="5">
        <v>31275</v>
      </c>
      <c r="G159" s="5">
        <v>31275</v>
      </c>
      <c r="H159" s="5">
        <v>31275</v>
      </c>
      <c r="I159" s="5">
        <v>31275</v>
      </c>
      <c r="J159" s="5">
        <v>31275</v>
      </c>
      <c r="K159" s="5">
        <f t="shared" si="32"/>
        <v>0</v>
      </c>
      <c r="L159" s="25">
        <v>31275</v>
      </c>
      <c r="M159" s="5">
        <f t="shared" ref="M159:M163" si="38">L159-J159</f>
        <v>0</v>
      </c>
      <c r="N159" s="4" t="s">
        <v>203</v>
      </c>
      <c r="O159" s="27" t="s">
        <v>324</v>
      </c>
    </row>
    <row r="160" spans="1:15" x14ac:dyDescent="0.25">
      <c r="A160" s="2">
        <v>7440</v>
      </c>
      <c r="B160" s="2" t="s">
        <v>104</v>
      </c>
      <c r="C160" s="5">
        <v>0</v>
      </c>
      <c r="D160" s="5">
        <f t="shared" ref="D160:E163" si="39">C160</f>
        <v>0</v>
      </c>
      <c r="E160" s="5">
        <f t="shared" si="39"/>
        <v>0</v>
      </c>
      <c r="F160" s="5">
        <v>0</v>
      </c>
      <c r="G160" s="5">
        <v>0</v>
      </c>
      <c r="H160" s="5">
        <v>0</v>
      </c>
      <c r="I160" s="5">
        <v>0</v>
      </c>
      <c r="J160" s="5">
        <v>0</v>
      </c>
      <c r="K160" s="5">
        <f t="shared" si="32"/>
        <v>0</v>
      </c>
      <c r="L160" s="5">
        <v>0</v>
      </c>
      <c r="M160" s="5">
        <f t="shared" si="38"/>
        <v>0</v>
      </c>
      <c r="N160" s="4" t="s">
        <v>105</v>
      </c>
    </row>
    <row r="161" spans="1:15" x14ac:dyDescent="0.25">
      <c r="A161" s="1">
        <v>7450</v>
      </c>
      <c r="B161" s="2" t="s">
        <v>106</v>
      </c>
      <c r="C161" s="5">
        <v>4100</v>
      </c>
      <c r="D161" s="5">
        <f t="shared" si="39"/>
        <v>4100</v>
      </c>
      <c r="E161" s="5">
        <f t="shared" si="39"/>
        <v>4100</v>
      </c>
      <c r="F161" s="5">
        <v>4100</v>
      </c>
      <c r="G161" s="5">
        <v>4100</v>
      </c>
      <c r="H161" s="5">
        <v>2425.41</v>
      </c>
      <c r="I161" s="5">
        <v>4100</v>
      </c>
      <c r="J161" s="5">
        <v>4100</v>
      </c>
      <c r="K161" s="5">
        <f t="shared" si="32"/>
        <v>0</v>
      </c>
      <c r="L161" s="25">
        <v>4100</v>
      </c>
      <c r="M161" s="5">
        <f t="shared" si="38"/>
        <v>0</v>
      </c>
      <c r="O161" s="27" t="s">
        <v>324</v>
      </c>
    </row>
    <row r="162" spans="1:15" x14ac:dyDescent="0.25">
      <c r="A162" s="1">
        <v>7470</v>
      </c>
      <c r="B162" s="2" t="s">
        <v>107</v>
      </c>
      <c r="C162" s="5">
        <v>4500</v>
      </c>
      <c r="D162" s="5">
        <f t="shared" si="39"/>
        <v>4500</v>
      </c>
      <c r="E162" s="5">
        <f t="shared" si="39"/>
        <v>4500</v>
      </c>
      <c r="F162" s="5">
        <v>4500</v>
      </c>
      <c r="G162" s="5">
        <v>4500</v>
      </c>
      <c r="H162" s="5">
        <v>3500</v>
      </c>
      <c r="I162" s="5">
        <v>4500</v>
      </c>
      <c r="J162" s="5">
        <v>4500</v>
      </c>
      <c r="K162" s="5">
        <f t="shared" si="32"/>
        <v>0</v>
      </c>
      <c r="L162" s="25">
        <v>4500</v>
      </c>
      <c r="M162" s="5">
        <f t="shared" si="38"/>
        <v>0</v>
      </c>
      <c r="O162" s="27"/>
    </row>
    <row r="163" spans="1:15" ht="48.75" x14ac:dyDescent="0.25">
      <c r="A163" s="1">
        <v>7475</v>
      </c>
      <c r="B163" s="2" t="s">
        <v>108</v>
      </c>
      <c r="C163" s="5">
        <v>12000</v>
      </c>
      <c r="D163" s="5">
        <f t="shared" si="39"/>
        <v>12000</v>
      </c>
      <c r="E163" s="5">
        <v>10000</v>
      </c>
      <c r="F163" s="5">
        <f>E163</f>
        <v>10000</v>
      </c>
      <c r="G163" s="5">
        <v>10000</v>
      </c>
      <c r="H163" s="5">
        <v>10000</v>
      </c>
      <c r="I163" s="5">
        <v>6500</v>
      </c>
      <c r="J163" s="5">
        <v>6500</v>
      </c>
      <c r="K163" s="5">
        <f t="shared" si="32"/>
        <v>0</v>
      </c>
      <c r="L163" s="25">
        <v>10000</v>
      </c>
      <c r="M163" s="5">
        <f t="shared" si="38"/>
        <v>3500</v>
      </c>
      <c r="N163" s="4" t="s">
        <v>231</v>
      </c>
      <c r="O163" s="26" t="s">
        <v>325</v>
      </c>
    </row>
    <row r="164" spans="1:15" x14ac:dyDescent="0.25">
      <c r="A164" s="2"/>
      <c r="M164" s="5">
        <f t="shared" si="36"/>
        <v>0</v>
      </c>
    </row>
    <row r="165" spans="1:15" ht="23.25" x14ac:dyDescent="0.25">
      <c r="A165" s="2"/>
      <c r="B165" s="2" t="s">
        <v>109</v>
      </c>
      <c r="C165" s="9">
        <f t="shared" ref="C165:J165" si="40">SUM(C158:C163)</f>
        <v>51875</v>
      </c>
      <c r="D165" s="9">
        <f t="shared" si="40"/>
        <v>51875</v>
      </c>
      <c r="E165" s="9">
        <f t="shared" si="40"/>
        <v>49875</v>
      </c>
      <c r="F165" s="9">
        <f t="shared" si="40"/>
        <v>49875</v>
      </c>
      <c r="G165" s="9">
        <f t="shared" si="40"/>
        <v>49875</v>
      </c>
      <c r="H165" s="9">
        <f t="shared" si="40"/>
        <v>47200.41</v>
      </c>
      <c r="I165" s="9">
        <f t="shared" si="40"/>
        <v>46375</v>
      </c>
      <c r="J165" s="9">
        <f t="shared" si="40"/>
        <v>46375</v>
      </c>
      <c r="K165" s="5">
        <f t="shared" ref="K165:K235" si="41">J165-I165</f>
        <v>0</v>
      </c>
      <c r="L165" s="9">
        <f>SUM(L158:L163)</f>
        <v>49875</v>
      </c>
      <c r="M165" s="5">
        <f t="shared" si="36"/>
        <v>3500</v>
      </c>
      <c r="O165" s="16" t="s">
        <v>309</v>
      </c>
    </row>
    <row r="166" spans="1:15" x14ac:dyDescent="0.25">
      <c r="A166" s="2"/>
      <c r="M166" s="5">
        <f t="shared" si="36"/>
        <v>0</v>
      </c>
    </row>
    <row r="167" spans="1:15" x14ac:dyDescent="0.25">
      <c r="A167" s="2"/>
      <c r="B167" s="10" t="s">
        <v>110</v>
      </c>
      <c r="M167" s="5">
        <f t="shared" si="36"/>
        <v>0</v>
      </c>
    </row>
    <row r="168" spans="1:15" x14ac:dyDescent="0.25">
      <c r="A168" s="2"/>
      <c r="M168" s="5">
        <f t="shared" si="36"/>
        <v>0</v>
      </c>
    </row>
    <row r="169" spans="1:15" ht="36.75" customHeight="1" x14ac:dyDescent="0.25">
      <c r="A169" s="2">
        <v>7610</v>
      </c>
      <c r="B169" s="2" t="s">
        <v>111</v>
      </c>
      <c r="C169" s="5">
        <f>234884.59+2500</f>
        <v>237384.59</v>
      </c>
      <c r="D169" s="5">
        <f>C169</f>
        <v>237384.59</v>
      </c>
      <c r="E169" s="5">
        <v>241510.5</v>
      </c>
      <c r="F169" s="5">
        <v>241510.5</v>
      </c>
      <c r="G169" s="5">
        <v>245797.9</v>
      </c>
      <c r="H169" s="5">
        <v>245797.9</v>
      </c>
      <c r="I169" s="5">
        <v>248010</v>
      </c>
      <c r="J169" s="5">
        <v>248010</v>
      </c>
      <c r="K169" s="5">
        <f t="shared" si="41"/>
        <v>0</v>
      </c>
      <c r="L169" s="5">
        <f>262379.73+2597.82</f>
        <v>264977.55</v>
      </c>
      <c r="M169" s="5">
        <f t="shared" si="36"/>
        <v>16967.549999999988</v>
      </c>
      <c r="N169" s="4" t="s">
        <v>216</v>
      </c>
      <c r="O169" s="16" t="s">
        <v>331</v>
      </c>
    </row>
    <row r="170" spans="1:15" x14ac:dyDescent="0.25">
      <c r="A170" s="1">
        <v>7650</v>
      </c>
      <c r="B170" s="2" t="s">
        <v>112</v>
      </c>
      <c r="C170" s="7">
        <f t="shared" ref="C170:E170" si="42">SUM(C171:C176)</f>
        <v>227704.5</v>
      </c>
      <c r="D170" s="7">
        <f t="shared" si="42"/>
        <v>227704.5</v>
      </c>
      <c r="E170" s="7">
        <f t="shared" si="42"/>
        <v>234499</v>
      </c>
      <c r="F170" s="5">
        <f t="shared" ref="F170" si="43">SUM(F171:F176)</f>
        <v>234499</v>
      </c>
      <c r="G170" s="7">
        <f>SUM(G171:G176)</f>
        <v>239055</v>
      </c>
      <c r="H170" s="7">
        <f>SUM(H171:H176)</f>
        <v>238575.5</v>
      </c>
      <c r="I170" s="7">
        <f>SUM(I171:I176)</f>
        <v>243153.17</v>
      </c>
      <c r="J170" s="7">
        <f t="shared" ref="J170" si="44">SUM(J171:J176)</f>
        <v>240353.17</v>
      </c>
      <c r="K170" s="5">
        <f t="shared" si="41"/>
        <v>-2800</v>
      </c>
      <c r="L170" s="7">
        <f>SUM(L171:L176)</f>
        <v>290739.31</v>
      </c>
      <c r="M170" s="5">
        <f t="shared" si="36"/>
        <v>50386.139999999985</v>
      </c>
    </row>
    <row r="171" spans="1:15" x14ac:dyDescent="0.25">
      <c r="A171" s="1">
        <v>7646</v>
      </c>
      <c r="B171" s="2" t="s">
        <v>113</v>
      </c>
      <c r="C171" s="5">
        <v>0</v>
      </c>
      <c r="D171" s="5">
        <f>C171</f>
        <v>0</v>
      </c>
      <c r="E171" s="5">
        <v>0</v>
      </c>
      <c r="F171" s="9">
        <v>0</v>
      </c>
      <c r="G171" s="5">
        <v>0</v>
      </c>
      <c r="H171" s="5">
        <v>0</v>
      </c>
      <c r="I171" s="5">
        <v>0</v>
      </c>
      <c r="J171" s="5">
        <v>0</v>
      </c>
      <c r="K171" s="5">
        <f t="shared" si="41"/>
        <v>0</v>
      </c>
      <c r="L171" s="5">
        <v>0</v>
      </c>
      <c r="M171" s="5">
        <f t="shared" si="36"/>
        <v>0</v>
      </c>
    </row>
    <row r="172" spans="1:15" ht="23.25" x14ac:dyDescent="0.25">
      <c r="A172" s="1">
        <v>7647</v>
      </c>
      <c r="B172" s="28" t="s">
        <v>328</v>
      </c>
      <c r="F172" s="9"/>
      <c r="L172" s="25">
        <v>53673.2</v>
      </c>
      <c r="M172" s="5"/>
      <c r="O172" s="16" t="s">
        <v>341</v>
      </c>
    </row>
    <row r="173" spans="1:15" ht="48.75" x14ac:dyDescent="0.25">
      <c r="A173" s="1">
        <v>7651</v>
      </c>
      <c r="B173" s="2" t="s">
        <v>114</v>
      </c>
      <c r="C173" s="5">
        <v>202022</v>
      </c>
      <c r="D173" s="5">
        <f t="shared" ref="D173:D176" si="45">C173</f>
        <v>202022</v>
      </c>
      <c r="E173" s="5">
        <v>208699</v>
      </c>
      <c r="F173" s="5">
        <v>208699</v>
      </c>
      <c r="G173" s="5">
        <v>213505</v>
      </c>
      <c r="H173" s="5">
        <v>213505</v>
      </c>
      <c r="I173" s="5">
        <v>217461.5</v>
      </c>
      <c r="J173" s="5">
        <v>217461.5</v>
      </c>
      <c r="K173" s="5">
        <f t="shared" si="41"/>
        <v>0</v>
      </c>
      <c r="L173" s="5">
        <f>14353.57*5+14784.18*7+1729*12+1296.75*12+11000</f>
        <v>222566.11000000002</v>
      </c>
      <c r="M173" s="5">
        <f t="shared" si="36"/>
        <v>5104.6100000000151</v>
      </c>
      <c r="N173" s="4" t="s">
        <v>230</v>
      </c>
      <c r="O173" s="19" t="s">
        <v>262</v>
      </c>
    </row>
    <row r="174" spans="1:15" ht="24.75" x14ac:dyDescent="0.25">
      <c r="A174" s="1">
        <v>7652</v>
      </c>
      <c r="B174" s="2" t="s">
        <v>115</v>
      </c>
      <c r="C174" s="5">
        <v>15000</v>
      </c>
      <c r="D174" s="5">
        <f t="shared" si="45"/>
        <v>15000</v>
      </c>
      <c r="E174" s="5">
        <v>15000</v>
      </c>
      <c r="F174" s="5">
        <v>15000</v>
      </c>
      <c r="G174" s="5">
        <v>14000</v>
      </c>
      <c r="H174" s="5">
        <v>14000</v>
      </c>
      <c r="I174" s="5">
        <f>13000-268.33</f>
        <v>12731.67</v>
      </c>
      <c r="J174" s="5">
        <v>12731.67</v>
      </c>
      <c r="K174" s="5">
        <f t="shared" si="41"/>
        <v>0</v>
      </c>
      <c r="L174" s="5">
        <v>12500</v>
      </c>
      <c r="M174" s="5">
        <f t="shared" si="36"/>
        <v>-231.67000000000007</v>
      </c>
      <c r="N174" s="4" t="s">
        <v>229</v>
      </c>
    </row>
    <row r="175" spans="1:15" ht="48.75" x14ac:dyDescent="0.25">
      <c r="A175" s="2">
        <v>7653</v>
      </c>
      <c r="B175" s="2" t="s">
        <v>116</v>
      </c>
      <c r="C175" s="5">
        <v>9682.5</v>
      </c>
      <c r="D175" s="5">
        <f t="shared" si="45"/>
        <v>9682.5</v>
      </c>
      <c r="E175" s="5">
        <v>9800</v>
      </c>
      <c r="F175" s="5">
        <v>9800</v>
      </c>
      <c r="G175" s="5">
        <v>9800</v>
      </c>
      <c r="H175" s="5">
        <f>9800-479.5</f>
        <v>9320.5</v>
      </c>
      <c r="I175" s="5">
        <v>10300</v>
      </c>
      <c r="J175" s="5">
        <v>7500</v>
      </c>
      <c r="K175" s="5">
        <f t="shared" si="41"/>
        <v>-2800</v>
      </c>
      <c r="L175" s="5">
        <v>0</v>
      </c>
      <c r="M175" s="5">
        <f t="shared" si="36"/>
        <v>-7500</v>
      </c>
      <c r="N175" s="15" t="s">
        <v>292</v>
      </c>
      <c r="O175" s="16" t="s">
        <v>339</v>
      </c>
    </row>
    <row r="176" spans="1:15" x14ac:dyDescent="0.25">
      <c r="A176" s="1">
        <v>7654</v>
      </c>
      <c r="B176" s="2" t="s">
        <v>117</v>
      </c>
      <c r="C176" s="5">
        <v>1000</v>
      </c>
      <c r="D176" s="5">
        <f t="shared" si="45"/>
        <v>1000</v>
      </c>
      <c r="E176" s="5">
        <v>1000</v>
      </c>
      <c r="F176" s="9">
        <v>1000</v>
      </c>
      <c r="G176" s="5">
        <v>1750</v>
      </c>
      <c r="H176" s="5">
        <v>1750</v>
      </c>
      <c r="I176" s="5">
        <v>2660</v>
      </c>
      <c r="J176" s="5">
        <v>2660</v>
      </c>
      <c r="K176" s="5">
        <f t="shared" si="41"/>
        <v>0</v>
      </c>
      <c r="L176" s="5">
        <v>2000</v>
      </c>
      <c r="M176" s="5">
        <f t="shared" si="36"/>
        <v>-660</v>
      </c>
      <c r="N176" s="4" t="s">
        <v>244</v>
      </c>
      <c r="O176" s="23" t="s">
        <v>263</v>
      </c>
    </row>
    <row r="177" spans="1:15" ht="24.75" x14ac:dyDescent="0.25">
      <c r="A177" s="2">
        <v>7655</v>
      </c>
      <c r="B177" s="2" t="s">
        <v>118</v>
      </c>
      <c r="C177" s="9">
        <f t="shared" ref="C177:J177" si="46">SUM(C178:C179)</f>
        <v>3000</v>
      </c>
      <c r="D177" s="9">
        <f t="shared" si="46"/>
        <v>3000</v>
      </c>
      <c r="E177" s="9">
        <f t="shared" si="46"/>
        <v>3000</v>
      </c>
      <c r="F177" s="5">
        <f t="shared" si="46"/>
        <v>3000</v>
      </c>
      <c r="G177" s="9">
        <f t="shared" si="46"/>
        <v>4500</v>
      </c>
      <c r="H177" s="9">
        <f t="shared" si="46"/>
        <v>4500</v>
      </c>
      <c r="I177" s="9">
        <f t="shared" si="46"/>
        <v>4500</v>
      </c>
      <c r="J177" s="9">
        <f t="shared" si="46"/>
        <v>2000</v>
      </c>
      <c r="K177" s="5">
        <f t="shared" si="41"/>
        <v>-2500</v>
      </c>
      <c r="L177" s="9">
        <f>SUM(L178:L179)</f>
        <v>2000</v>
      </c>
      <c r="M177" s="5">
        <f t="shared" si="36"/>
        <v>0</v>
      </c>
      <c r="N177" s="15" t="s">
        <v>293</v>
      </c>
    </row>
    <row r="178" spans="1:15" x14ac:dyDescent="0.25">
      <c r="A178" s="2">
        <v>7656</v>
      </c>
      <c r="B178" s="2" t="s">
        <v>119</v>
      </c>
      <c r="C178" s="5">
        <v>3000</v>
      </c>
      <c r="D178" s="5">
        <f>C178</f>
        <v>3000</v>
      </c>
      <c r="E178" s="5">
        <v>3000</v>
      </c>
      <c r="F178" s="5">
        <v>3000</v>
      </c>
      <c r="G178" s="5">
        <v>4500</v>
      </c>
      <c r="H178" s="5">
        <v>4500</v>
      </c>
      <c r="I178" s="5">
        <v>4500</v>
      </c>
      <c r="J178" s="5">
        <v>2000</v>
      </c>
      <c r="K178" s="5">
        <f t="shared" si="41"/>
        <v>-2500</v>
      </c>
      <c r="L178" s="5">
        <v>2000</v>
      </c>
      <c r="M178" s="5">
        <f t="shared" si="36"/>
        <v>0</v>
      </c>
    </row>
    <row r="179" spans="1:15" x14ac:dyDescent="0.25">
      <c r="A179" s="2">
        <v>7657</v>
      </c>
      <c r="B179" s="2" t="s">
        <v>120</v>
      </c>
      <c r="C179" s="5">
        <v>0</v>
      </c>
      <c r="D179" s="5">
        <f>C179</f>
        <v>0</v>
      </c>
      <c r="G179" s="5">
        <v>0</v>
      </c>
      <c r="H179" s="5">
        <v>0</v>
      </c>
      <c r="I179" s="5">
        <v>0</v>
      </c>
      <c r="J179" s="5">
        <v>0</v>
      </c>
      <c r="K179" s="5">
        <f t="shared" si="41"/>
        <v>0</v>
      </c>
      <c r="L179" s="5">
        <v>0</v>
      </c>
      <c r="M179" s="5">
        <f t="shared" si="36"/>
        <v>0</v>
      </c>
    </row>
    <row r="180" spans="1:15" x14ac:dyDescent="0.25">
      <c r="A180" s="2">
        <v>7666</v>
      </c>
      <c r="B180" s="2" t="s">
        <v>121</v>
      </c>
      <c r="C180" s="5">
        <v>0</v>
      </c>
      <c r="D180" s="5">
        <f>C180</f>
        <v>0</v>
      </c>
      <c r="E180" s="5">
        <v>0</v>
      </c>
      <c r="F180" s="5">
        <v>0</v>
      </c>
      <c r="G180" s="5">
        <v>0</v>
      </c>
      <c r="H180" s="5">
        <v>0</v>
      </c>
      <c r="I180" s="5">
        <v>0</v>
      </c>
      <c r="J180" s="5">
        <v>0</v>
      </c>
      <c r="K180" s="5">
        <f t="shared" si="41"/>
        <v>0</v>
      </c>
      <c r="L180" s="5">
        <v>0</v>
      </c>
      <c r="M180" s="5">
        <f t="shared" si="36"/>
        <v>0</v>
      </c>
    </row>
    <row r="181" spans="1:15" x14ac:dyDescent="0.25">
      <c r="A181" s="2">
        <v>7670</v>
      </c>
      <c r="B181" s="2" t="s">
        <v>122</v>
      </c>
      <c r="C181" s="9">
        <f t="shared" ref="C181:E181" si="47">SUM(C182:C183)</f>
        <v>12700</v>
      </c>
      <c r="D181" s="9">
        <f t="shared" si="47"/>
        <v>12700</v>
      </c>
      <c r="E181" s="9">
        <f t="shared" si="47"/>
        <v>12450</v>
      </c>
      <c r="F181" s="5">
        <f t="shared" ref="F181" si="48">SUM(F182:F183)</f>
        <v>12450</v>
      </c>
      <c r="G181" s="9">
        <f>SUM(G182:G183)</f>
        <v>12300</v>
      </c>
      <c r="H181" s="9">
        <f>SUM(H182:H183)</f>
        <v>12300</v>
      </c>
      <c r="I181" s="9">
        <f>SUM(I182:I183)</f>
        <v>13845</v>
      </c>
      <c r="J181" s="9">
        <f t="shared" ref="J181" si="49">SUM(J182:J183)</f>
        <v>13845</v>
      </c>
      <c r="K181" s="5">
        <f t="shared" si="41"/>
        <v>0</v>
      </c>
      <c r="L181" s="9">
        <f>SUM(L182:L183)</f>
        <v>14975</v>
      </c>
      <c r="M181" s="5">
        <f t="shared" si="36"/>
        <v>1130</v>
      </c>
    </row>
    <row r="182" spans="1:15" ht="24.75" x14ac:dyDescent="0.25">
      <c r="A182" s="2">
        <v>7672</v>
      </c>
      <c r="B182" s="2" t="s">
        <v>123</v>
      </c>
      <c r="C182" s="5">
        <v>9700</v>
      </c>
      <c r="D182" s="5">
        <f>C182</f>
        <v>9700</v>
      </c>
      <c r="E182" s="5">
        <v>9700</v>
      </c>
      <c r="F182" s="5">
        <v>9700</v>
      </c>
      <c r="G182" s="5">
        <v>9500</v>
      </c>
      <c r="H182" s="5">
        <v>9500</v>
      </c>
      <c r="I182" s="5">
        <v>10630</v>
      </c>
      <c r="J182" s="5">
        <v>10630</v>
      </c>
      <c r="K182" s="5">
        <f t="shared" si="41"/>
        <v>0</v>
      </c>
      <c r="L182" s="5">
        <v>11475</v>
      </c>
      <c r="M182" s="5">
        <f t="shared" si="36"/>
        <v>845</v>
      </c>
      <c r="N182" s="4" t="s">
        <v>245</v>
      </c>
      <c r="O182" s="16" t="s">
        <v>264</v>
      </c>
    </row>
    <row r="183" spans="1:15" ht="24.75" x14ac:dyDescent="0.25">
      <c r="A183" s="2">
        <v>7673</v>
      </c>
      <c r="B183" s="2" t="s">
        <v>124</v>
      </c>
      <c r="C183" s="5">
        <v>3000</v>
      </c>
      <c r="D183" s="5">
        <f>C183</f>
        <v>3000</v>
      </c>
      <c r="E183" s="5">
        <v>2750</v>
      </c>
      <c r="F183" s="9">
        <v>2750</v>
      </c>
      <c r="G183" s="5">
        <v>2800</v>
      </c>
      <c r="H183" s="5">
        <v>2800</v>
      </c>
      <c r="I183" s="5">
        <v>3215</v>
      </c>
      <c r="J183" s="5">
        <v>3215</v>
      </c>
      <c r="K183" s="5">
        <f t="shared" si="41"/>
        <v>0</v>
      </c>
      <c r="L183" s="5">
        <v>3500</v>
      </c>
      <c r="M183" s="5">
        <f t="shared" si="36"/>
        <v>285</v>
      </c>
      <c r="N183" s="4" t="s">
        <v>245</v>
      </c>
    </row>
    <row r="184" spans="1:15" x14ac:dyDescent="0.25">
      <c r="A184" s="2">
        <v>7680</v>
      </c>
      <c r="B184" s="2" t="s">
        <v>125</v>
      </c>
      <c r="C184" s="5">
        <v>800</v>
      </c>
      <c r="D184" s="5">
        <f>C184</f>
        <v>800</v>
      </c>
      <c r="E184" s="5">
        <v>800</v>
      </c>
      <c r="F184" s="5">
        <v>800</v>
      </c>
      <c r="G184" s="5">
        <v>800</v>
      </c>
      <c r="H184" s="5">
        <v>800</v>
      </c>
      <c r="I184" s="5">
        <v>1000</v>
      </c>
      <c r="J184" s="5">
        <v>1000</v>
      </c>
      <c r="K184" s="5">
        <f t="shared" si="41"/>
        <v>0</v>
      </c>
      <c r="L184" s="5">
        <v>800</v>
      </c>
      <c r="M184" s="5">
        <f t="shared" si="36"/>
        <v>-200</v>
      </c>
      <c r="N184" s="4" t="s">
        <v>246</v>
      </c>
    </row>
    <row r="185" spans="1:15" x14ac:dyDescent="0.25">
      <c r="A185" s="2">
        <v>7681</v>
      </c>
      <c r="B185" s="2" t="s">
        <v>126</v>
      </c>
      <c r="M185" s="5">
        <f t="shared" si="36"/>
        <v>0</v>
      </c>
    </row>
    <row r="186" spans="1:15" ht="18.75" customHeight="1" x14ac:dyDescent="0.25">
      <c r="A186" s="2">
        <v>7682</v>
      </c>
      <c r="B186" s="2" t="s">
        <v>127</v>
      </c>
      <c r="M186" s="5">
        <f t="shared" si="36"/>
        <v>0</v>
      </c>
    </row>
    <row r="187" spans="1:15" ht="27.75" customHeight="1" x14ac:dyDescent="0.25">
      <c r="A187" s="1">
        <v>7685</v>
      </c>
      <c r="B187" s="28" t="s">
        <v>329</v>
      </c>
      <c r="F187" s="9"/>
      <c r="L187" s="25">
        <v>100000</v>
      </c>
      <c r="M187" s="5"/>
      <c r="O187" s="16" t="s">
        <v>342</v>
      </c>
    </row>
    <row r="188" spans="1:15" ht="36.75" x14ac:dyDescent="0.25">
      <c r="A188" s="2">
        <v>7690</v>
      </c>
      <c r="B188" s="2" t="s">
        <v>128</v>
      </c>
      <c r="C188" s="5">
        <v>4800</v>
      </c>
      <c r="D188" s="5">
        <f>C188</f>
        <v>4800</v>
      </c>
      <c r="E188" s="5">
        <v>4775</v>
      </c>
      <c r="F188" s="5">
        <v>4775</v>
      </c>
      <c r="G188" s="5">
        <v>4700</v>
      </c>
      <c r="H188" s="5">
        <v>2000</v>
      </c>
      <c r="I188" s="5">
        <v>3700</v>
      </c>
      <c r="J188" s="5">
        <v>1000</v>
      </c>
      <c r="K188" s="5">
        <f t="shared" si="41"/>
        <v>-2700</v>
      </c>
      <c r="L188" s="5">
        <v>3000</v>
      </c>
      <c r="M188" s="5">
        <f t="shared" si="36"/>
        <v>2000</v>
      </c>
      <c r="N188" s="15" t="s">
        <v>294</v>
      </c>
      <c r="O188" s="16" t="s">
        <v>267</v>
      </c>
    </row>
    <row r="189" spans="1:15" ht="24.75" x14ac:dyDescent="0.25">
      <c r="A189" s="2">
        <v>7700</v>
      </c>
      <c r="B189" s="2" t="s">
        <v>129</v>
      </c>
      <c r="C189" s="9">
        <f t="shared" ref="C189:E189" si="50">SUM(C190:C193)</f>
        <v>610754.84000000008</v>
      </c>
      <c r="D189" s="9">
        <f t="shared" si="50"/>
        <v>618694.84000000008</v>
      </c>
      <c r="E189" s="9">
        <f t="shared" si="50"/>
        <v>642579.81000000006</v>
      </c>
      <c r="F189" s="5">
        <f t="shared" ref="F189" si="51">SUM(F190:F193)</f>
        <v>642579.81000000006</v>
      </c>
      <c r="G189" s="9">
        <f>SUM(G190:G193)</f>
        <v>623860.24999999988</v>
      </c>
      <c r="H189" s="9">
        <f>SUM(H190:H193)</f>
        <v>623860.24999999988</v>
      </c>
      <c r="I189" s="9">
        <f>SUM(I190:I193)</f>
        <v>649265</v>
      </c>
      <c r="J189" s="9">
        <f>SUM(J190:J193)</f>
        <v>708500</v>
      </c>
      <c r="K189" s="5">
        <f>J189-I189</f>
        <v>59235</v>
      </c>
      <c r="L189" s="9">
        <f>SUM(L190:L193)</f>
        <v>765507.95000000007</v>
      </c>
      <c r="M189" s="5">
        <f t="shared" si="36"/>
        <v>57007.95000000007</v>
      </c>
      <c r="N189" s="15" t="s">
        <v>295</v>
      </c>
    </row>
    <row r="190" spans="1:15" ht="42" customHeight="1" x14ac:dyDescent="0.25">
      <c r="A190" s="2">
        <v>7701</v>
      </c>
      <c r="B190" s="2" t="s">
        <v>130</v>
      </c>
      <c r="C190" s="5">
        <f>40786.86+57967.02+82043.21+33850.08+22301.74+30450.54+40441.67+1899.98+250541.9</f>
        <v>560283</v>
      </c>
      <c r="D190" s="5">
        <f>C190+7400</f>
        <v>567683</v>
      </c>
      <c r="E190" s="5">
        <v>588617.81000000006</v>
      </c>
      <c r="F190" s="5">
        <v>588617.81000000006</v>
      </c>
      <c r="G190" s="5">
        <v>564834.81999999995</v>
      </c>
      <c r="H190" s="5">
        <v>564834.81999999995</v>
      </c>
      <c r="I190" s="5">
        <v>588738</v>
      </c>
      <c r="J190" s="5">
        <v>644000</v>
      </c>
      <c r="K190" s="5">
        <f t="shared" si="41"/>
        <v>55262</v>
      </c>
      <c r="L190" s="5">
        <f>693330.02+12760</f>
        <v>706090.02</v>
      </c>
      <c r="M190" s="5">
        <f t="shared" si="36"/>
        <v>62090.020000000019</v>
      </c>
      <c r="N190" s="4" t="s">
        <v>220</v>
      </c>
      <c r="O190" s="16" t="s">
        <v>344</v>
      </c>
    </row>
    <row r="191" spans="1:15" ht="24.75" x14ac:dyDescent="0.25">
      <c r="A191" s="2">
        <v>7702</v>
      </c>
      <c r="B191" s="2" t="s">
        <v>131</v>
      </c>
      <c r="C191" s="5">
        <v>0</v>
      </c>
      <c r="D191" s="5">
        <v>0</v>
      </c>
      <c r="E191" s="5">
        <v>0</v>
      </c>
      <c r="F191" s="5">
        <v>0</v>
      </c>
      <c r="G191" s="5">
        <v>0</v>
      </c>
      <c r="H191" s="5">
        <v>0</v>
      </c>
      <c r="I191" s="5">
        <v>0</v>
      </c>
      <c r="J191" s="5">
        <v>0</v>
      </c>
      <c r="K191" s="5">
        <f t="shared" si="41"/>
        <v>0</v>
      </c>
      <c r="L191" s="5">
        <v>0</v>
      </c>
      <c r="M191" s="5">
        <f t="shared" si="36"/>
        <v>0</v>
      </c>
      <c r="N191" s="4" t="s">
        <v>132</v>
      </c>
    </row>
    <row r="192" spans="1:15" ht="24.75" x14ac:dyDescent="0.25">
      <c r="A192" s="2">
        <v>7703</v>
      </c>
      <c r="B192" s="2" t="s">
        <v>133</v>
      </c>
      <c r="C192" s="5">
        <v>39560.53</v>
      </c>
      <c r="D192" s="5">
        <f>C192+457</f>
        <v>40017.53</v>
      </c>
      <c r="E192" s="5">
        <v>42169.67</v>
      </c>
      <c r="F192" s="5">
        <v>42169.67</v>
      </c>
      <c r="G192" s="5">
        <v>46637.08</v>
      </c>
      <c r="H192" s="5">
        <v>46637.08</v>
      </c>
      <c r="I192" s="5">
        <v>46638</v>
      </c>
      <c r="J192" s="5">
        <v>48500</v>
      </c>
      <c r="K192" s="5">
        <f t="shared" si="41"/>
        <v>1862</v>
      </c>
      <c r="L192" s="5">
        <v>43533.03</v>
      </c>
      <c r="M192" s="5">
        <f t="shared" si="36"/>
        <v>-4966.9700000000012</v>
      </c>
      <c r="N192" s="4" t="s">
        <v>221</v>
      </c>
      <c r="O192" s="16" t="s">
        <v>327</v>
      </c>
    </row>
    <row r="193" spans="1:15" ht="48.75" x14ac:dyDescent="0.25">
      <c r="A193" s="2">
        <v>7704</v>
      </c>
      <c r="B193" s="2" t="s">
        <v>134</v>
      </c>
      <c r="C193" s="5">
        <v>10911.31</v>
      </c>
      <c r="D193" s="5">
        <f>C193+83</f>
        <v>10994.31</v>
      </c>
      <c r="E193" s="5">
        <v>11792.33</v>
      </c>
      <c r="F193" s="5">
        <v>11792.33</v>
      </c>
      <c r="G193" s="5">
        <v>12388.35</v>
      </c>
      <c r="H193" s="5">
        <v>12388.35</v>
      </c>
      <c r="I193" s="5">
        <v>13889</v>
      </c>
      <c r="J193" s="5">
        <v>16000</v>
      </c>
      <c r="K193" s="5">
        <f t="shared" si="41"/>
        <v>2111</v>
      </c>
      <c r="L193" s="5">
        <v>15884.9</v>
      </c>
      <c r="M193" s="5">
        <f t="shared" si="36"/>
        <v>-115.10000000000036</v>
      </c>
      <c r="N193" s="4" t="s">
        <v>222</v>
      </c>
      <c r="O193" s="23" t="s">
        <v>268</v>
      </c>
    </row>
    <row r="194" spans="1:15" ht="72.75" x14ac:dyDescent="0.25">
      <c r="A194" s="2">
        <v>7710</v>
      </c>
      <c r="B194" s="2" t="s">
        <v>135</v>
      </c>
      <c r="C194" s="5">
        <v>180243</v>
      </c>
      <c r="D194" s="5">
        <f>C194+2855</f>
        <v>183098</v>
      </c>
      <c r="E194" s="5">
        <v>192298.13</v>
      </c>
      <c r="F194" s="5">
        <v>192298.13</v>
      </c>
      <c r="G194" s="5">
        <v>186831.11</v>
      </c>
      <c r="H194" s="5">
        <v>186831.11</v>
      </c>
      <c r="I194" s="5">
        <v>197652</v>
      </c>
      <c r="J194" s="5">
        <v>183700</v>
      </c>
      <c r="K194" s="5">
        <f t="shared" si="41"/>
        <v>-13952</v>
      </c>
      <c r="L194" s="5">
        <f>193089.66+1910.7</f>
        <v>195000.36000000002</v>
      </c>
      <c r="M194" s="5">
        <f t="shared" si="36"/>
        <v>11300.360000000015</v>
      </c>
      <c r="N194" s="15" t="s">
        <v>296</v>
      </c>
      <c r="O194" s="16" t="s">
        <v>338</v>
      </c>
    </row>
    <row r="195" spans="1:15" ht="36.75" x14ac:dyDescent="0.25">
      <c r="A195" s="2">
        <v>7720</v>
      </c>
      <c r="B195" s="2" t="s">
        <v>136</v>
      </c>
      <c r="C195" s="5">
        <v>196979</v>
      </c>
      <c r="D195" s="5">
        <f>C195+2445+1553</f>
        <v>200977</v>
      </c>
      <c r="E195" s="5">
        <v>210154.39</v>
      </c>
      <c r="F195" s="5">
        <v>210154.39</v>
      </c>
      <c r="G195" s="5">
        <v>213322.08</v>
      </c>
      <c r="H195" s="5">
        <v>213322.08</v>
      </c>
      <c r="I195" s="5">
        <v>216005</v>
      </c>
      <c r="J195" s="5">
        <v>211000</v>
      </c>
      <c r="K195" s="5">
        <f t="shared" si="41"/>
        <v>-5005</v>
      </c>
      <c r="L195" s="5">
        <f>218834.94+2166.66</f>
        <v>221001.60000000001</v>
      </c>
      <c r="M195" s="5">
        <f t="shared" si="36"/>
        <v>10001.600000000006</v>
      </c>
      <c r="N195" s="15" t="s">
        <v>297</v>
      </c>
      <c r="O195" s="23" t="s">
        <v>337</v>
      </c>
    </row>
    <row r="196" spans="1:15" ht="65.25" customHeight="1" x14ac:dyDescent="0.25">
      <c r="A196" s="2">
        <v>7730</v>
      </c>
      <c r="B196" s="2" t="s">
        <v>137</v>
      </c>
      <c r="C196" s="5">
        <v>19000</v>
      </c>
      <c r="D196" s="5">
        <f>C196</f>
        <v>19000</v>
      </c>
      <c r="E196" s="5">
        <v>16930</v>
      </c>
      <c r="F196" s="5">
        <v>16930</v>
      </c>
      <c r="G196" s="5">
        <v>11658</v>
      </c>
      <c r="H196" s="5">
        <v>11658</v>
      </c>
      <c r="I196" s="5">
        <v>12147</v>
      </c>
      <c r="J196" s="5">
        <v>12147</v>
      </c>
      <c r="K196" s="5">
        <f t="shared" si="41"/>
        <v>0</v>
      </c>
      <c r="L196" s="5">
        <v>13990</v>
      </c>
      <c r="M196" s="5">
        <f t="shared" si="36"/>
        <v>1843</v>
      </c>
      <c r="N196" s="4" t="s">
        <v>228</v>
      </c>
      <c r="O196" s="16" t="s">
        <v>311</v>
      </c>
    </row>
    <row r="197" spans="1:15" x14ac:dyDescent="0.25">
      <c r="A197" s="2">
        <v>7735</v>
      </c>
      <c r="B197" s="2" t="s">
        <v>138</v>
      </c>
      <c r="C197" s="5">
        <f>2000-576.22+1354.03-773.73</f>
        <v>2004.08</v>
      </c>
      <c r="D197" s="5">
        <f>C197-0.03</f>
        <v>2004.05</v>
      </c>
      <c r="E197" s="5">
        <v>2500</v>
      </c>
      <c r="F197" s="5">
        <v>2500</v>
      </c>
      <c r="G197" s="5">
        <v>2000</v>
      </c>
      <c r="H197" s="5">
        <v>2000</v>
      </c>
      <c r="I197" s="5">
        <v>500</v>
      </c>
      <c r="J197" s="5">
        <v>500</v>
      </c>
      <c r="K197" s="5">
        <f t="shared" si="41"/>
        <v>0</v>
      </c>
      <c r="L197" s="5">
        <v>1000</v>
      </c>
      <c r="M197" s="5">
        <f t="shared" si="36"/>
        <v>500</v>
      </c>
      <c r="N197" s="4" t="s">
        <v>224</v>
      </c>
      <c r="O197" s="23" t="s">
        <v>265</v>
      </c>
    </row>
    <row r="198" spans="1:15" x14ac:dyDescent="0.25">
      <c r="A198" s="2">
        <v>7740</v>
      </c>
      <c r="B198" s="2" t="s">
        <v>139</v>
      </c>
      <c r="C198" s="5">
        <v>19000</v>
      </c>
      <c r="D198" s="5">
        <f t="shared" ref="D198:D201" si="52">C198</f>
        <v>19000</v>
      </c>
      <c r="E198" s="5">
        <v>19000</v>
      </c>
      <c r="F198" s="5">
        <v>19000</v>
      </c>
      <c r="G198" s="5">
        <v>19000</v>
      </c>
      <c r="H198" s="5">
        <v>19000</v>
      </c>
      <c r="I198" s="5">
        <v>19000</v>
      </c>
      <c r="J198" s="5">
        <v>19000</v>
      </c>
      <c r="K198" s="5">
        <f t="shared" si="41"/>
        <v>0</v>
      </c>
      <c r="L198" s="5">
        <v>19000</v>
      </c>
      <c r="M198" s="5">
        <f t="shared" si="36"/>
        <v>0</v>
      </c>
      <c r="N198" s="4" t="s">
        <v>223</v>
      </c>
    </row>
    <row r="199" spans="1:15" ht="84.75" x14ac:dyDescent="0.25">
      <c r="A199" s="2">
        <v>7745</v>
      </c>
      <c r="B199" s="2" t="s">
        <v>140</v>
      </c>
      <c r="C199" s="5">
        <v>13122</v>
      </c>
      <c r="D199" s="5">
        <f t="shared" si="52"/>
        <v>13122</v>
      </c>
      <c r="E199" s="5">
        <f>1000+122+13650+16000+7425-8344.74</f>
        <v>29852.260000000002</v>
      </c>
      <c r="F199" s="5">
        <f>1000+122+13650+16000+7425-8344.74</f>
        <v>29852.260000000002</v>
      </c>
      <c r="G199" s="5">
        <v>24547</v>
      </c>
      <c r="H199" s="5">
        <v>24547</v>
      </c>
      <c r="I199" s="5">
        <v>18697</v>
      </c>
      <c r="J199" s="5">
        <f>I199+1200</f>
        <v>19897</v>
      </c>
      <c r="K199" s="5">
        <f t="shared" si="41"/>
        <v>1200</v>
      </c>
      <c r="L199" s="5">
        <f>I199+2400</f>
        <v>21097</v>
      </c>
      <c r="M199" s="5">
        <f t="shared" si="36"/>
        <v>1200</v>
      </c>
      <c r="N199" s="22" t="s">
        <v>298</v>
      </c>
      <c r="O199" s="16" t="s">
        <v>312</v>
      </c>
    </row>
    <row r="200" spans="1:15" x14ac:dyDescent="0.25">
      <c r="A200" s="2">
        <v>7750</v>
      </c>
      <c r="B200" s="2" t="s">
        <v>141</v>
      </c>
      <c r="C200" s="5">
        <v>8500</v>
      </c>
      <c r="D200" s="5">
        <f t="shared" si="52"/>
        <v>8500</v>
      </c>
      <c r="E200" s="5">
        <v>8500</v>
      </c>
      <c r="F200" s="5">
        <v>8500</v>
      </c>
      <c r="G200" s="5">
        <v>9300</v>
      </c>
      <c r="H200" s="5">
        <v>9300</v>
      </c>
      <c r="I200" s="5">
        <v>9000</v>
      </c>
      <c r="J200" s="5">
        <v>9000</v>
      </c>
      <c r="K200" s="5">
        <f t="shared" si="41"/>
        <v>0</v>
      </c>
      <c r="L200" s="5">
        <v>9000</v>
      </c>
      <c r="M200" s="5">
        <f t="shared" si="36"/>
        <v>0</v>
      </c>
      <c r="N200" s="4" t="s">
        <v>224</v>
      </c>
    </row>
    <row r="201" spans="1:15" ht="27.75" customHeight="1" x14ac:dyDescent="0.25">
      <c r="A201" s="2">
        <v>7751</v>
      </c>
      <c r="B201" s="2" t="s">
        <v>142</v>
      </c>
      <c r="C201" s="5">
        <v>1000</v>
      </c>
      <c r="D201" s="5">
        <f t="shared" si="52"/>
        <v>1000</v>
      </c>
      <c r="E201" s="5">
        <v>1000</v>
      </c>
      <c r="F201" s="5">
        <v>1000</v>
      </c>
      <c r="G201" s="5">
        <v>1250</v>
      </c>
      <c r="H201" s="5">
        <v>1250</v>
      </c>
      <c r="I201" s="5">
        <v>1400</v>
      </c>
      <c r="J201" s="5">
        <v>1400</v>
      </c>
      <c r="K201" s="5">
        <f t="shared" si="41"/>
        <v>0</v>
      </c>
      <c r="L201" s="5">
        <v>1400</v>
      </c>
      <c r="M201" s="5">
        <f t="shared" si="36"/>
        <v>0</v>
      </c>
      <c r="N201" s="4" t="s">
        <v>244</v>
      </c>
    </row>
    <row r="202" spans="1:15" s="29" customFormat="1" ht="102" customHeight="1" x14ac:dyDescent="0.25">
      <c r="A202" s="4">
        <v>7752</v>
      </c>
      <c r="B202" s="4" t="s">
        <v>143</v>
      </c>
      <c r="C202" s="5">
        <v>19000</v>
      </c>
      <c r="D202" s="5">
        <f>C202</f>
        <v>19000</v>
      </c>
      <c r="E202" s="5">
        <v>19000</v>
      </c>
      <c r="F202" s="5">
        <v>19000</v>
      </c>
      <c r="G202" s="5">
        <v>21000</v>
      </c>
      <c r="H202" s="5">
        <v>23500</v>
      </c>
      <c r="I202" s="5">
        <v>21500</v>
      </c>
      <c r="J202" s="5">
        <v>21500</v>
      </c>
      <c r="K202" s="5">
        <f t="shared" si="41"/>
        <v>0</v>
      </c>
      <c r="L202" s="25">
        <v>21500</v>
      </c>
      <c r="M202" s="5">
        <f t="shared" si="36"/>
        <v>0</v>
      </c>
      <c r="N202" s="4" t="s">
        <v>233</v>
      </c>
      <c r="O202" s="26" t="s">
        <v>326</v>
      </c>
    </row>
    <row r="203" spans="1:15" ht="27" customHeight="1" x14ac:dyDescent="0.25">
      <c r="A203" s="2">
        <v>7760</v>
      </c>
      <c r="B203" s="2" t="s">
        <v>144</v>
      </c>
      <c r="C203" s="5">
        <v>2000</v>
      </c>
      <c r="D203" s="5">
        <f t="shared" ref="D203:D205" si="53">C203</f>
        <v>2000</v>
      </c>
      <c r="E203" s="5">
        <v>2000</v>
      </c>
      <c r="F203" s="5">
        <v>2000</v>
      </c>
      <c r="G203" s="5">
        <v>2000</v>
      </c>
      <c r="H203" s="5">
        <v>2000</v>
      </c>
      <c r="I203" s="5">
        <v>1000</v>
      </c>
      <c r="J203" s="5">
        <v>1000</v>
      </c>
      <c r="K203" s="5">
        <f t="shared" si="41"/>
        <v>0</v>
      </c>
      <c r="L203" s="5">
        <v>1000</v>
      </c>
      <c r="M203" s="5">
        <f t="shared" si="36"/>
        <v>0</v>
      </c>
      <c r="O203" s="30"/>
    </row>
    <row r="204" spans="1:15" ht="24.75" x14ac:dyDescent="0.25">
      <c r="A204" s="2">
        <v>7771</v>
      </c>
      <c r="B204" s="2" t="s">
        <v>145</v>
      </c>
      <c r="C204" s="5">
        <v>9500</v>
      </c>
      <c r="D204" s="5">
        <f t="shared" si="53"/>
        <v>9500</v>
      </c>
      <c r="E204" s="5">
        <v>10100</v>
      </c>
      <c r="F204" s="5">
        <v>10100</v>
      </c>
      <c r="G204" s="5">
        <v>10000</v>
      </c>
      <c r="H204" s="5">
        <v>10000</v>
      </c>
      <c r="I204" s="5">
        <v>9800</v>
      </c>
      <c r="J204" s="5">
        <v>9800</v>
      </c>
      <c r="K204" s="5">
        <f t="shared" si="41"/>
        <v>0</v>
      </c>
      <c r="L204" s="5">
        <v>9800</v>
      </c>
      <c r="M204" s="5">
        <f t="shared" si="36"/>
        <v>0</v>
      </c>
    </row>
    <row r="205" spans="1:15" x14ac:dyDescent="0.25">
      <c r="A205" s="2">
        <v>7772</v>
      </c>
      <c r="B205" s="2" t="s">
        <v>183</v>
      </c>
      <c r="D205" s="5">
        <f t="shared" si="53"/>
        <v>0</v>
      </c>
      <c r="E205" s="5">
        <v>1265</v>
      </c>
      <c r="F205" s="9">
        <v>1265</v>
      </c>
      <c r="G205" s="5">
        <v>1300</v>
      </c>
      <c r="H205" s="5">
        <v>1300</v>
      </c>
      <c r="I205" s="5">
        <v>0</v>
      </c>
      <c r="J205" s="5">
        <v>0</v>
      </c>
      <c r="K205" s="5">
        <f t="shared" si="41"/>
        <v>0</v>
      </c>
      <c r="L205" s="5">
        <v>0</v>
      </c>
      <c r="M205" s="5">
        <f t="shared" si="36"/>
        <v>0</v>
      </c>
      <c r="N205" s="4" t="s">
        <v>247</v>
      </c>
    </row>
    <row r="206" spans="1:15" ht="90.75" customHeight="1" x14ac:dyDescent="0.25">
      <c r="A206" s="2">
        <v>8010</v>
      </c>
      <c r="B206" s="2" t="s">
        <v>168</v>
      </c>
      <c r="C206" s="5">
        <f>C9</f>
        <v>912673.32</v>
      </c>
      <c r="D206" s="5">
        <v>1013190.3</v>
      </c>
      <c r="E206" s="5">
        <f>D206-60000-5000-560-6000</f>
        <v>941630.3</v>
      </c>
      <c r="F206" s="5">
        <v>956824.09</v>
      </c>
      <c r="G206" s="5">
        <v>830037</v>
      </c>
      <c r="H206" s="5">
        <f>956824.06</f>
        <v>956824.06</v>
      </c>
      <c r="I206" s="5">
        <v>850639</v>
      </c>
      <c r="J206" s="5">
        <v>889596.29</v>
      </c>
      <c r="K206" s="5">
        <f t="shared" si="41"/>
        <v>38957.290000000037</v>
      </c>
      <c r="L206" s="5">
        <v>797916.29</v>
      </c>
      <c r="M206" s="5">
        <f t="shared" si="36"/>
        <v>-91680</v>
      </c>
      <c r="N206" s="15" t="s">
        <v>287</v>
      </c>
      <c r="O206" s="16" t="s">
        <v>282</v>
      </c>
    </row>
    <row r="207" spans="1:15" x14ac:dyDescent="0.25">
      <c r="A207" s="2">
        <v>8011</v>
      </c>
      <c r="B207" s="2" t="s">
        <v>146</v>
      </c>
      <c r="C207" s="5">
        <v>2000</v>
      </c>
      <c r="D207" s="5">
        <f>C207</f>
        <v>2000</v>
      </c>
      <c r="E207" s="5">
        <v>2000</v>
      </c>
      <c r="F207" s="5">
        <v>2000</v>
      </c>
      <c r="G207" s="5">
        <v>1300</v>
      </c>
      <c r="H207" s="5">
        <v>1300</v>
      </c>
      <c r="I207" s="5">
        <v>700</v>
      </c>
      <c r="J207" s="5">
        <v>700</v>
      </c>
      <c r="K207" s="5">
        <f t="shared" si="41"/>
        <v>0</v>
      </c>
      <c r="L207" s="5">
        <v>700</v>
      </c>
      <c r="M207" s="5">
        <f t="shared" si="36"/>
        <v>0</v>
      </c>
      <c r="N207" s="4" t="s">
        <v>248</v>
      </c>
    </row>
    <row r="208" spans="1:15" ht="26.25" customHeight="1" x14ac:dyDescent="0.25">
      <c r="A208" s="2">
        <v>8015</v>
      </c>
      <c r="B208" s="2" t="s">
        <v>147</v>
      </c>
      <c r="C208" s="5">
        <v>2000</v>
      </c>
      <c r="D208" s="5">
        <f>C208</f>
        <v>2000</v>
      </c>
      <c r="E208" s="5">
        <v>2000</v>
      </c>
      <c r="F208" s="5">
        <v>2000</v>
      </c>
      <c r="G208" s="5">
        <v>2000</v>
      </c>
      <c r="H208" s="5">
        <v>2000</v>
      </c>
      <c r="I208" s="5">
        <v>1000</v>
      </c>
      <c r="J208" s="5">
        <v>1000</v>
      </c>
      <c r="K208" s="5">
        <f t="shared" si="41"/>
        <v>0</v>
      </c>
      <c r="L208" s="5">
        <v>2000.2</v>
      </c>
      <c r="M208" s="5">
        <f t="shared" si="36"/>
        <v>1000.2</v>
      </c>
    </row>
    <row r="209" spans="1:15" x14ac:dyDescent="0.25">
      <c r="A209" s="2"/>
      <c r="K209" s="5">
        <f t="shared" si="41"/>
        <v>0</v>
      </c>
      <c r="M209" s="5">
        <f t="shared" si="36"/>
        <v>0</v>
      </c>
    </row>
    <row r="210" spans="1:15" x14ac:dyDescent="0.25">
      <c r="A210" s="2"/>
      <c r="B210" s="2" t="s">
        <v>148</v>
      </c>
      <c r="C210" s="9">
        <f t="shared" ref="C210:J210" si="54">C169+C170+C177+C180+C181+C184+C188+C189+SUM(C194:C208)</f>
        <v>2484165.33</v>
      </c>
      <c r="D210" s="9">
        <f t="shared" si="54"/>
        <v>2599475.2800000003</v>
      </c>
      <c r="E210" s="9">
        <f t="shared" si="54"/>
        <v>2597844.39</v>
      </c>
      <c r="F210" s="5">
        <f t="shared" si="54"/>
        <v>2613038.1800000002</v>
      </c>
      <c r="G210" s="9">
        <f t="shared" si="54"/>
        <v>2466558.34</v>
      </c>
      <c r="H210" s="9">
        <f t="shared" si="54"/>
        <v>2592665.9</v>
      </c>
      <c r="I210" s="9">
        <f t="shared" si="54"/>
        <v>2522513.17</v>
      </c>
      <c r="J210" s="9">
        <f t="shared" si="54"/>
        <v>2594948.46</v>
      </c>
      <c r="K210" s="5">
        <f t="shared" si="41"/>
        <v>72435.290000000037</v>
      </c>
      <c r="L210" s="9">
        <f>L169+L170+L187+L177+L180+L181+L184+L188+L189+SUM(L194:L208)</f>
        <v>2756405.26</v>
      </c>
      <c r="M210" s="5">
        <f t="shared" si="36"/>
        <v>161456.79999999981</v>
      </c>
    </row>
    <row r="211" spans="1:15" x14ac:dyDescent="0.25">
      <c r="A211" s="2"/>
      <c r="K211" s="5">
        <f t="shared" si="41"/>
        <v>0</v>
      </c>
      <c r="M211" s="5">
        <f t="shared" si="36"/>
        <v>0</v>
      </c>
    </row>
    <row r="212" spans="1:15" x14ac:dyDescent="0.25">
      <c r="A212" s="2"/>
      <c r="B212" s="2" t="s">
        <v>149</v>
      </c>
      <c r="K212" s="5">
        <f t="shared" si="41"/>
        <v>0</v>
      </c>
      <c r="M212" s="5">
        <f t="shared" si="36"/>
        <v>0</v>
      </c>
    </row>
    <row r="213" spans="1:15" x14ac:dyDescent="0.25">
      <c r="A213" s="2"/>
      <c r="K213" s="5">
        <f t="shared" si="41"/>
        <v>0</v>
      </c>
      <c r="M213" s="5">
        <f t="shared" si="36"/>
        <v>0</v>
      </c>
    </row>
    <row r="214" spans="1:15" x14ac:dyDescent="0.25">
      <c r="A214" s="1">
        <v>9103</v>
      </c>
      <c r="B214" s="2" t="s">
        <v>150</v>
      </c>
      <c r="C214" s="5">
        <v>0</v>
      </c>
      <c r="D214" s="5">
        <f>C214</f>
        <v>0</v>
      </c>
      <c r="E214" s="5">
        <v>0</v>
      </c>
      <c r="F214" s="5">
        <v>0</v>
      </c>
      <c r="G214" s="5">
        <v>0</v>
      </c>
      <c r="H214" s="5">
        <v>0</v>
      </c>
      <c r="K214" s="5">
        <f t="shared" si="41"/>
        <v>0</v>
      </c>
      <c r="M214" s="5">
        <f t="shared" si="36"/>
        <v>0</v>
      </c>
    </row>
    <row r="215" spans="1:15" x14ac:dyDescent="0.25">
      <c r="A215" s="1">
        <v>9114</v>
      </c>
      <c r="B215" s="2" t="s">
        <v>151</v>
      </c>
      <c r="C215" s="5">
        <v>75000</v>
      </c>
      <c r="D215" s="5">
        <f t="shared" ref="D215:D220" si="55">C215</f>
        <v>75000</v>
      </c>
      <c r="E215" s="5">
        <v>75000</v>
      </c>
      <c r="F215" s="5">
        <v>75000</v>
      </c>
      <c r="G215" s="5">
        <v>75000</v>
      </c>
      <c r="H215" s="5">
        <v>75000</v>
      </c>
      <c r="I215" s="5">
        <v>75000</v>
      </c>
      <c r="J215" s="5">
        <v>75000</v>
      </c>
      <c r="K215" s="5">
        <f t="shared" si="41"/>
        <v>0</v>
      </c>
      <c r="L215" s="25">
        <v>75000</v>
      </c>
      <c r="M215" s="5">
        <f t="shared" si="36"/>
        <v>0</v>
      </c>
      <c r="O215" s="26"/>
    </row>
    <row r="216" spans="1:15" ht="45.75" x14ac:dyDescent="0.25">
      <c r="L216" s="25">
        <v>100000</v>
      </c>
      <c r="M216" s="5"/>
      <c r="O216" s="26" t="s">
        <v>345</v>
      </c>
    </row>
    <row r="217" spans="1:15" ht="24.75" x14ac:dyDescent="0.25">
      <c r="A217" s="1">
        <v>9121</v>
      </c>
      <c r="B217" s="2" t="s">
        <v>152</v>
      </c>
      <c r="D217" s="5">
        <f t="shared" si="55"/>
        <v>0</v>
      </c>
      <c r="E217" s="5">
        <v>0</v>
      </c>
      <c r="F217" s="5">
        <v>0</v>
      </c>
      <c r="G217" s="5">
        <v>0</v>
      </c>
      <c r="H217" s="5">
        <v>0</v>
      </c>
      <c r="K217" s="5">
        <f t="shared" si="41"/>
        <v>0</v>
      </c>
      <c r="M217" s="5">
        <f t="shared" si="36"/>
        <v>0</v>
      </c>
    </row>
    <row r="218" spans="1:15" ht="24.75" x14ac:dyDescent="0.25">
      <c r="A218" s="1">
        <v>9126</v>
      </c>
      <c r="B218" s="2" t="s">
        <v>167</v>
      </c>
      <c r="D218" s="5">
        <f t="shared" si="55"/>
        <v>0</v>
      </c>
      <c r="E218" s="5">
        <v>0</v>
      </c>
      <c r="F218" s="5">
        <v>0</v>
      </c>
      <c r="G218" s="5">
        <v>0</v>
      </c>
      <c r="H218" s="5">
        <v>0</v>
      </c>
      <c r="K218" s="5">
        <f t="shared" si="41"/>
        <v>0</v>
      </c>
      <c r="M218" s="5">
        <f t="shared" si="36"/>
        <v>0</v>
      </c>
    </row>
    <row r="219" spans="1:15" ht="24.75" x14ac:dyDescent="0.25">
      <c r="B219" s="2" t="s">
        <v>179</v>
      </c>
      <c r="D219" s="5">
        <f t="shared" si="55"/>
        <v>0</v>
      </c>
      <c r="E219" s="5">
        <v>0</v>
      </c>
      <c r="F219" s="5">
        <v>0</v>
      </c>
      <c r="G219" s="5">
        <v>0</v>
      </c>
      <c r="H219" s="5">
        <v>0</v>
      </c>
      <c r="K219" s="5">
        <f t="shared" si="41"/>
        <v>0</v>
      </c>
      <c r="M219" s="5">
        <f t="shared" si="36"/>
        <v>0</v>
      </c>
    </row>
    <row r="220" spans="1:15" ht="24.75" x14ac:dyDescent="0.25">
      <c r="A220" s="1">
        <v>9141</v>
      </c>
      <c r="B220" s="2" t="s">
        <v>153</v>
      </c>
      <c r="D220" s="5">
        <f t="shared" si="55"/>
        <v>0</v>
      </c>
      <c r="E220" s="5">
        <v>0</v>
      </c>
      <c r="F220" s="5">
        <v>0</v>
      </c>
      <c r="G220" s="5">
        <v>0</v>
      </c>
      <c r="H220" s="5">
        <v>0</v>
      </c>
      <c r="K220" s="5">
        <f t="shared" si="41"/>
        <v>0</v>
      </c>
      <c r="M220" s="5">
        <f t="shared" ref="M220:M240" si="56">L220-J220</f>
        <v>0</v>
      </c>
    </row>
    <row r="221" spans="1:15" x14ac:dyDescent="0.25">
      <c r="A221" s="1">
        <v>9146</v>
      </c>
      <c r="B221" s="2" t="s">
        <v>185</v>
      </c>
      <c r="D221" s="5">
        <v>40000</v>
      </c>
      <c r="G221" s="5">
        <v>0</v>
      </c>
      <c r="H221" s="5">
        <v>0</v>
      </c>
      <c r="K221" s="5">
        <f t="shared" si="41"/>
        <v>0</v>
      </c>
      <c r="M221" s="5">
        <f t="shared" si="56"/>
        <v>0</v>
      </c>
    </row>
    <row r="222" spans="1:15" x14ac:dyDescent="0.25">
      <c r="A222" s="1">
        <v>9153</v>
      </c>
      <c r="B222" s="2" t="s">
        <v>269</v>
      </c>
      <c r="J222" s="5">
        <v>5356.09</v>
      </c>
      <c r="K222" s="5">
        <f t="shared" si="41"/>
        <v>5356.09</v>
      </c>
      <c r="M222" s="5">
        <f t="shared" si="56"/>
        <v>-5356.09</v>
      </c>
      <c r="N222" s="20" t="s">
        <v>275</v>
      </c>
    </row>
    <row r="223" spans="1:15" x14ac:dyDescent="0.25">
      <c r="A223" s="1">
        <v>9157</v>
      </c>
      <c r="B223" s="2" t="s">
        <v>173</v>
      </c>
      <c r="D223" s="5">
        <v>3159</v>
      </c>
      <c r="E223" s="5">
        <v>2004</v>
      </c>
      <c r="F223" s="7">
        <v>2004</v>
      </c>
      <c r="G223" s="5">
        <v>0</v>
      </c>
      <c r="H223" s="5">
        <v>0</v>
      </c>
      <c r="K223" s="5">
        <f t="shared" si="41"/>
        <v>0</v>
      </c>
      <c r="M223" s="5">
        <f t="shared" si="56"/>
        <v>0</v>
      </c>
    </row>
    <row r="224" spans="1:15" x14ac:dyDescent="0.25">
      <c r="A224" s="1">
        <v>9159</v>
      </c>
      <c r="B224" s="2" t="s">
        <v>198</v>
      </c>
      <c r="F224" s="9">
        <v>60000</v>
      </c>
      <c r="G224" s="5">
        <v>0</v>
      </c>
      <c r="H224" s="5">
        <v>0</v>
      </c>
      <c r="K224" s="5">
        <f t="shared" si="41"/>
        <v>0</v>
      </c>
      <c r="M224" s="5">
        <f t="shared" si="56"/>
        <v>0</v>
      </c>
    </row>
    <row r="225" spans="1:15" x14ac:dyDescent="0.25">
      <c r="A225" s="1">
        <v>9166</v>
      </c>
      <c r="B225" s="2" t="s">
        <v>202</v>
      </c>
      <c r="F225" s="9">
        <v>399500</v>
      </c>
      <c r="G225" s="5">
        <v>0</v>
      </c>
      <c r="H225" s="5">
        <v>0</v>
      </c>
      <c r="K225" s="5">
        <f t="shared" si="41"/>
        <v>0</v>
      </c>
      <c r="M225" s="5">
        <f t="shared" si="56"/>
        <v>0</v>
      </c>
    </row>
    <row r="226" spans="1:15" ht="108.75" x14ac:dyDescent="0.25">
      <c r="A226" s="1">
        <v>9171</v>
      </c>
      <c r="B226" s="2" t="s">
        <v>154</v>
      </c>
      <c r="C226" s="5">
        <v>276314</v>
      </c>
      <c r="D226" s="5">
        <f>C226</f>
        <v>276314</v>
      </c>
      <c r="E226" s="5">
        <v>283288</v>
      </c>
      <c r="F226" s="5">
        <v>283288</v>
      </c>
      <c r="G226" s="5">
        <v>277867</v>
      </c>
      <c r="H226" s="5">
        <v>347110</v>
      </c>
      <c r="I226" s="5">
        <f>294348+5215</f>
        <v>299563</v>
      </c>
      <c r="J226" s="5">
        <v>309873.96999999997</v>
      </c>
      <c r="K226" s="5">
        <f t="shared" si="41"/>
        <v>10310.969999999972</v>
      </c>
      <c r="L226" s="5">
        <v>334831.02</v>
      </c>
      <c r="M226" s="5">
        <f t="shared" si="56"/>
        <v>24957.050000000047</v>
      </c>
      <c r="N226" s="15" t="s">
        <v>299</v>
      </c>
      <c r="O226" s="17" t="s">
        <v>318</v>
      </c>
    </row>
    <row r="227" spans="1:15" x14ac:dyDescent="0.25">
      <c r="A227" s="1">
        <v>9176</v>
      </c>
      <c r="B227" s="2" t="s">
        <v>200</v>
      </c>
      <c r="F227" s="9">
        <v>6700</v>
      </c>
      <c r="G227" s="5">
        <v>0</v>
      </c>
      <c r="H227" s="5">
        <v>6644.21</v>
      </c>
      <c r="K227" s="5">
        <f>J227-I227</f>
        <v>0</v>
      </c>
      <c r="M227" s="5">
        <f>L227-J227</f>
        <v>0</v>
      </c>
      <c r="O227" s="17"/>
    </row>
    <row r="228" spans="1:15" x14ac:dyDescent="0.25">
      <c r="A228" s="1">
        <v>9196</v>
      </c>
      <c r="B228" s="2" t="s">
        <v>274</v>
      </c>
      <c r="F228" s="9"/>
      <c r="J228" s="5">
        <v>3758</v>
      </c>
      <c r="K228" s="5">
        <f>J228-I228</f>
        <v>3758</v>
      </c>
      <c r="M228" s="5">
        <f>L228-J228</f>
        <v>-3758</v>
      </c>
      <c r="N228" s="20" t="s">
        <v>275</v>
      </c>
    </row>
    <row r="229" spans="1:15" ht="24.75" x14ac:dyDescent="0.25">
      <c r="A229" s="1">
        <v>9206</v>
      </c>
      <c r="B229" s="2" t="s">
        <v>270</v>
      </c>
      <c r="J229" s="5">
        <v>13175</v>
      </c>
      <c r="K229" s="5">
        <f t="shared" ref="K229:K230" si="57">J229-I229</f>
        <v>13175</v>
      </c>
      <c r="M229" s="5">
        <f t="shared" ref="M229:M231" si="58">L229-J229</f>
        <v>-13175</v>
      </c>
      <c r="N229" s="20" t="s">
        <v>275</v>
      </c>
      <c r="O229" s="17"/>
    </row>
    <row r="230" spans="1:15" ht="24.75" x14ac:dyDescent="0.25">
      <c r="A230" s="1">
        <v>9211</v>
      </c>
      <c r="B230" s="2" t="s">
        <v>273</v>
      </c>
      <c r="J230" s="5">
        <v>2000</v>
      </c>
      <c r="K230" s="5">
        <f t="shared" si="57"/>
        <v>2000</v>
      </c>
      <c r="M230" s="5">
        <f t="shared" si="58"/>
        <v>-2000</v>
      </c>
      <c r="N230" s="20" t="s">
        <v>275</v>
      </c>
      <c r="O230" s="17"/>
    </row>
    <row r="231" spans="1:15" x14ac:dyDescent="0.25">
      <c r="A231" s="1">
        <v>9216</v>
      </c>
      <c r="B231" s="2" t="s">
        <v>272</v>
      </c>
      <c r="J231" s="5">
        <v>101227</v>
      </c>
      <c r="K231" s="5">
        <f>J231-I231</f>
        <v>101227</v>
      </c>
      <c r="M231" s="5">
        <f t="shared" si="58"/>
        <v>-101227</v>
      </c>
      <c r="N231" s="20" t="s">
        <v>275</v>
      </c>
      <c r="O231" s="24"/>
    </row>
    <row r="232" spans="1:15" x14ac:dyDescent="0.25">
      <c r="F232" s="7"/>
      <c r="M232" s="5"/>
      <c r="O232" s="24"/>
    </row>
    <row r="233" spans="1:15" x14ac:dyDescent="0.25">
      <c r="A233" s="2"/>
      <c r="B233" s="2" t="s">
        <v>155</v>
      </c>
      <c r="C233" s="13">
        <f t="shared" ref="C233:E233" si="59">SUM(C214:C226)</f>
        <v>351314</v>
      </c>
      <c r="D233" s="13">
        <f t="shared" si="59"/>
        <v>394473</v>
      </c>
      <c r="E233" s="13">
        <f t="shared" si="59"/>
        <v>360292</v>
      </c>
      <c r="F233" s="5">
        <f>SUM(F214:F230)</f>
        <v>826492</v>
      </c>
      <c r="G233" s="5">
        <f>SUM(G214:G230)</f>
        <v>352867</v>
      </c>
      <c r="H233" s="5">
        <f>SUM(H214:H230)</f>
        <v>428754.21</v>
      </c>
      <c r="I233" s="5">
        <f>SUM(I214:I231)</f>
        <v>374563</v>
      </c>
      <c r="J233" s="5">
        <f>SUM(J214:J231)</f>
        <v>510390.05999999994</v>
      </c>
      <c r="K233" s="5">
        <f t="shared" si="41"/>
        <v>135827.05999999994</v>
      </c>
      <c r="L233" s="5">
        <f>SUM(L214:L231)</f>
        <v>509831.02</v>
      </c>
      <c r="M233" s="5">
        <f t="shared" si="56"/>
        <v>-559.03999999992084</v>
      </c>
      <c r="O233" s="24"/>
    </row>
    <row r="234" spans="1:15" x14ac:dyDescent="0.25">
      <c r="K234" s="5">
        <f t="shared" si="41"/>
        <v>0</v>
      </c>
      <c r="M234" s="5">
        <f t="shared" si="56"/>
        <v>0</v>
      </c>
      <c r="O234" s="24"/>
    </row>
    <row r="235" spans="1:15" ht="24.75" x14ac:dyDescent="0.25">
      <c r="B235" s="2" t="s">
        <v>156</v>
      </c>
      <c r="C235" s="7" t="e">
        <f>C76+C111+C82+C121+C131+#REF!+#REF!+C141+C155+C165+C210+C233-C102-C105-C103-C104-C206</f>
        <v>#REF!</v>
      </c>
      <c r="D235" s="7" t="e">
        <f>D76+D111+D82+D121+D131+#REF!+#REF!+D141+D155+D165+D210+D233-D102-D105-D103-D104-D206</f>
        <v>#REF!</v>
      </c>
      <c r="E235" s="7" t="e">
        <f>E76+E111+E82+E121+E131+#REF!+#REF!+E141+E155+E165+E210+E233-E102-E105-E103-E104-E206</f>
        <v>#REF!</v>
      </c>
      <c r="F235" s="7" t="e">
        <f>F76+F111+F82+F121+F131+#REF!+#REF!+F141+F155+F165+F210+F233-F102-F105-F103-F104-F206</f>
        <v>#REF!</v>
      </c>
      <c r="G235" s="7" t="e">
        <f>G76+G111+G82+G121+G131+#REF!+#REF!+G141+G155+G165+G210+G233-G102-G105-G103-G104-G206</f>
        <v>#REF!</v>
      </c>
      <c r="H235" s="7" t="e">
        <f>H76+H111+H82+H121+H131+#REF!+#REF!+H141+H155+H165+H210+H233-H102-H105-H103-H104-H206</f>
        <v>#REF!</v>
      </c>
      <c r="I235" s="7">
        <f>I76+I111+I82+I121+I131+I141+I155+I165+I210+I233-I102-I105-I103-I104-I206</f>
        <v>6549481.75</v>
      </c>
      <c r="J235" s="7">
        <f>J76+J111+J82+J121+J131+J141+J155+J165+J210+J233-J102-J105-J103-J104-J206</f>
        <v>6697108.8099999987</v>
      </c>
      <c r="K235" s="5">
        <f t="shared" si="41"/>
        <v>147627.05999999866</v>
      </c>
      <c r="L235" s="7">
        <f>L76+L111+L82+L121+L131+L141+L155+L165+L210+L233-L102-L105-L103-L104-L206</f>
        <v>6987623.6699999999</v>
      </c>
      <c r="M235" s="5">
        <f t="shared" si="56"/>
        <v>290514.86000000127</v>
      </c>
    </row>
    <row r="236" spans="1:15" ht="24.75" x14ac:dyDescent="0.25">
      <c r="A236" s="2"/>
      <c r="B236" s="2" t="s">
        <v>157</v>
      </c>
      <c r="C236" s="11">
        <f t="shared" ref="C236:J236" si="60">C105+C102+C103+C104+C206</f>
        <v>1940192.52</v>
      </c>
      <c r="D236" s="11">
        <f t="shared" si="60"/>
        <v>2117531.5300000003</v>
      </c>
      <c r="E236" s="11">
        <f t="shared" si="60"/>
        <v>2053252.53</v>
      </c>
      <c r="F236" s="13">
        <f t="shared" si="60"/>
        <v>2203932.1599999997</v>
      </c>
      <c r="G236" s="9">
        <f t="shared" si="60"/>
        <v>2082141.0699999998</v>
      </c>
      <c r="H236" s="9">
        <f t="shared" si="60"/>
        <v>1979265.11</v>
      </c>
      <c r="I236" s="9">
        <f t="shared" si="60"/>
        <v>1885840.05</v>
      </c>
      <c r="J236" s="9">
        <f t="shared" si="60"/>
        <v>1980529.98</v>
      </c>
      <c r="K236" s="5">
        <f t="shared" ref="K236:K240" si="61">J236-I236</f>
        <v>94689.929999999935</v>
      </c>
      <c r="L236" s="9">
        <f>L105+L102+L103+L104+L206</f>
        <v>1890747.98</v>
      </c>
      <c r="M236" s="5">
        <f t="shared" si="56"/>
        <v>-89782</v>
      </c>
    </row>
    <row r="237" spans="1:15" x14ac:dyDescent="0.25">
      <c r="A237" s="2"/>
      <c r="B237" s="2" t="s">
        <v>158</v>
      </c>
      <c r="C237" s="11" t="e">
        <f t="shared" ref="C237:E237" si="62">SUM(C235:C236)</f>
        <v>#REF!</v>
      </c>
      <c r="D237" s="11" t="e">
        <f t="shared" si="62"/>
        <v>#REF!</v>
      </c>
      <c r="E237" s="11" t="e">
        <f t="shared" si="62"/>
        <v>#REF!</v>
      </c>
      <c r="F237" s="13" t="e">
        <f t="shared" ref="F237" si="63">SUM(F235:F236)</f>
        <v>#REF!</v>
      </c>
      <c r="G237" s="11" t="e">
        <f t="shared" ref="G237:H237" si="64">SUM(G235:G236)</f>
        <v>#REF!</v>
      </c>
      <c r="H237" s="11" t="e">
        <f t="shared" si="64"/>
        <v>#REF!</v>
      </c>
      <c r="I237" s="11">
        <f>SUM(I235:I236)</f>
        <v>8435321.8000000007</v>
      </c>
      <c r="J237" s="11">
        <f>SUM(J235:J236)</f>
        <v>8677638.7899999991</v>
      </c>
      <c r="K237" s="5">
        <f>J237-I237</f>
        <v>242316.98999999836</v>
      </c>
      <c r="L237" s="9">
        <f>SUM(L235:L236)</f>
        <v>8878371.6500000004</v>
      </c>
      <c r="M237" s="5">
        <f>L237-J237</f>
        <v>200732.86000000127</v>
      </c>
    </row>
    <row r="238" spans="1:15" x14ac:dyDescent="0.25">
      <c r="A238" s="2"/>
      <c r="K238" s="5">
        <f t="shared" si="61"/>
        <v>0</v>
      </c>
      <c r="M238" s="5">
        <f t="shared" si="56"/>
        <v>0</v>
      </c>
    </row>
    <row r="239" spans="1:15" ht="36.75" x14ac:dyDescent="0.25">
      <c r="A239" s="2"/>
      <c r="B239" s="2" t="s">
        <v>159</v>
      </c>
      <c r="C239" s="11" t="e">
        <f t="shared" ref="C239:J239" si="65">C53-C237</f>
        <v>#REF!</v>
      </c>
      <c r="D239" s="11" t="e">
        <f t="shared" si="65"/>
        <v>#REF!</v>
      </c>
      <c r="E239" s="11" t="e">
        <f t="shared" si="65"/>
        <v>#REF!</v>
      </c>
      <c r="F239" s="13" t="e">
        <f t="shared" si="65"/>
        <v>#REF!</v>
      </c>
      <c r="G239" s="11" t="e">
        <f t="shared" si="65"/>
        <v>#REF!</v>
      </c>
      <c r="H239" s="11" t="e">
        <f t="shared" si="65"/>
        <v>#REF!</v>
      </c>
      <c r="I239" s="11">
        <f t="shared" si="65"/>
        <v>0</v>
      </c>
      <c r="J239" s="11">
        <f t="shared" si="65"/>
        <v>0</v>
      </c>
      <c r="K239" s="5">
        <f t="shared" si="61"/>
        <v>0</v>
      </c>
      <c r="L239" s="32">
        <f>L53-L237</f>
        <v>0</v>
      </c>
      <c r="M239" s="5">
        <f t="shared" si="56"/>
        <v>0</v>
      </c>
    </row>
    <row r="240" spans="1:15" ht="24.75" x14ac:dyDescent="0.25">
      <c r="B240" s="2" t="s">
        <v>160</v>
      </c>
      <c r="C240" s="12" t="e">
        <f t="shared" ref="C240:J240" si="66">C51-C235</f>
        <v>#REF!</v>
      </c>
      <c r="D240" s="12" t="e">
        <f t="shared" si="66"/>
        <v>#REF!</v>
      </c>
      <c r="E240" s="12" t="e">
        <f t="shared" si="66"/>
        <v>#REF!</v>
      </c>
      <c r="F240" s="13" t="e">
        <f t="shared" si="66"/>
        <v>#REF!</v>
      </c>
      <c r="G240" s="12" t="e">
        <f t="shared" si="66"/>
        <v>#REF!</v>
      </c>
      <c r="H240" s="12" t="e">
        <f t="shared" si="66"/>
        <v>#REF!</v>
      </c>
      <c r="I240" s="12">
        <f t="shared" si="66"/>
        <v>12760</v>
      </c>
      <c r="J240" s="12">
        <f t="shared" si="66"/>
        <v>12760.000000001863</v>
      </c>
      <c r="K240" s="5">
        <f t="shared" si="61"/>
        <v>1.862645149230957E-9</v>
      </c>
      <c r="L240" s="7">
        <f>L51-L235</f>
        <v>1898</v>
      </c>
      <c r="M240" s="5">
        <f t="shared" si="56"/>
        <v>-10862.000000001863</v>
      </c>
      <c r="N240" s="14"/>
    </row>
    <row r="241" spans="9:15" x14ac:dyDescent="0.25">
      <c r="M241" s="5"/>
    </row>
    <row r="242" spans="9:15" x14ac:dyDescent="0.25">
      <c r="M242" s="5"/>
    </row>
    <row r="243" spans="9:15" ht="60.75" x14ac:dyDescent="0.25">
      <c r="I243" s="9" t="s">
        <v>250</v>
      </c>
      <c r="J243" s="9" t="s">
        <v>250</v>
      </c>
      <c r="L243" s="9" t="s">
        <v>315</v>
      </c>
      <c r="M243" s="5"/>
    </row>
    <row r="244" spans="9:15" ht="48.75" x14ac:dyDescent="0.25">
      <c r="I244" s="9" t="s">
        <v>251</v>
      </c>
      <c r="J244" s="9" t="s">
        <v>251</v>
      </c>
      <c r="L244" s="9" t="s">
        <v>314</v>
      </c>
      <c r="M244" s="5"/>
    </row>
    <row r="245" spans="9:15" ht="409.5" customHeight="1" x14ac:dyDescent="0.25">
      <c r="L245" s="31" t="s">
        <v>330</v>
      </c>
      <c r="M245" s="5"/>
      <c r="N245" s="33"/>
      <c r="O245" s="34" t="s">
        <v>340</v>
      </c>
    </row>
  </sheetData>
  <printOptions headings="1" gridLines="1"/>
  <pageMargins left="0.7" right="0.7" top="0.75" bottom="0.75" header="0.3" footer="0.3"/>
  <pageSetup paperSize="127" fitToHeight="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South Central Library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defuser</dc:creator>
  <cp:lastModifiedBy>Van Pelt</cp:lastModifiedBy>
  <cp:lastPrinted>2021-09-15T20:22:52Z</cp:lastPrinted>
  <dcterms:created xsi:type="dcterms:W3CDTF">2017-05-04T14:11:02Z</dcterms:created>
  <dcterms:modified xsi:type="dcterms:W3CDTF">2021-09-15T20:23:23Z</dcterms:modified>
</cp:coreProperties>
</file>