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Administration\Budgets\2023 Budget\"/>
    </mc:Choice>
  </mc:AlternateContent>
  <bookViews>
    <workbookView xWindow="0" yWindow="132" windowWidth="20256" windowHeight="7488"/>
  </bookViews>
  <sheets>
    <sheet name="Sheet1" sheetId="1" r:id="rId1"/>
    <sheet name="Sheet2" sheetId="2" r:id="rId2"/>
    <sheet name="Sheet3" sheetId="3" r:id="rId3"/>
  </sheets>
  <definedNames>
    <definedName name="_xlnm.Print_Titles" localSheetId="0">Sheet1!$1:$1</definedName>
  </definedNames>
  <calcPr calcId="162913"/>
</workbook>
</file>

<file path=xl/calcChain.xml><?xml version="1.0" encoding="utf-8"?>
<calcChain xmlns="http://schemas.openxmlformats.org/spreadsheetml/2006/main">
  <c r="M260" i="1" l="1"/>
  <c r="M185" i="1" l="1"/>
  <c r="M187" i="1" l="1"/>
  <c r="M180" i="1" l="1"/>
  <c r="N160" i="1" l="1"/>
  <c r="N161" i="1"/>
  <c r="N78" i="1" l="1"/>
  <c r="N162" i="1" l="1"/>
  <c r="N163" i="1"/>
  <c r="N225" i="1" l="1"/>
  <c r="D225" i="1"/>
  <c r="L257" i="1" l="1"/>
  <c r="L212" i="1"/>
  <c r="L211" i="1"/>
  <c r="L207" i="1"/>
  <c r="L206" i="1" s="1"/>
  <c r="L188" i="1"/>
  <c r="L187" i="1" s="1"/>
  <c r="L180" i="1"/>
  <c r="L176" i="1"/>
  <c r="L155" i="1"/>
  <c r="L166" i="1" s="1"/>
  <c r="L150" i="1"/>
  <c r="L134" i="1"/>
  <c r="L140" i="1" s="1"/>
  <c r="L124" i="1"/>
  <c r="L130" i="1" s="1"/>
  <c r="L111" i="1"/>
  <c r="L260" i="1" s="1"/>
  <c r="L110" i="1"/>
  <c r="L100" i="1"/>
  <c r="L99" i="1"/>
  <c r="L89" i="1"/>
  <c r="L91" i="1" s="1"/>
  <c r="L77" i="1"/>
  <c r="L71" i="1"/>
  <c r="L61" i="1"/>
  <c r="L19" i="1"/>
  <c r="L60" i="1" s="1"/>
  <c r="L85" i="1" l="1"/>
  <c r="L120" i="1"/>
  <c r="L62" i="1"/>
  <c r="M176" i="1"/>
  <c r="N176" i="1" s="1"/>
  <c r="M166" i="1"/>
  <c r="N166" i="1" s="1"/>
  <c r="M150" i="1"/>
  <c r="N150" i="1" s="1"/>
  <c r="M140" i="1"/>
  <c r="N140" i="1" s="1"/>
  <c r="M130" i="1"/>
  <c r="N130" i="1" s="1"/>
  <c r="N5" i="1"/>
  <c r="N6" i="1"/>
  <c r="N7" i="1"/>
  <c r="N8" i="1"/>
  <c r="N9" i="1"/>
  <c r="N10" i="1"/>
  <c r="N11" i="1"/>
  <c r="N12" i="1"/>
  <c r="N13" i="1"/>
  <c r="N14" i="1"/>
  <c r="N15" i="1"/>
  <c r="N16" i="1"/>
  <c r="N17" i="1"/>
  <c r="N18" i="1"/>
  <c r="N19" i="1"/>
  <c r="N20"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5" i="1"/>
  <c r="N56" i="1"/>
  <c r="N57" i="1"/>
  <c r="N58" i="1"/>
  <c r="N59" i="1"/>
  <c r="N63" i="1"/>
  <c r="N64" i="1"/>
  <c r="N65" i="1"/>
  <c r="N66" i="1"/>
  <c r="N67" i="1"/>
  <c r="N68" i="1"/>
  <c r="N69" i="1"/>
  <c r="N70" i="1"/>
  <c r="N72" i="1"/>
  <c r="N73" i="1"/>
  <c r="N74" i="1"/>
  <c r="N75" i="1"/>
  <c r="N76" i="1"/>
  <c r="N79" i="1"/>
  <c r="N80" i="1"/>
  <c r="N81" i="1"/>
  <c r="N82" i="1"/>
  <c r="N83" i="1"/>
  <c r="N84" i="1"/>
  <c r="N86" i="1"/>
  <c r="N87" i="1"/>
  <c r="N88" i="1"/>
  <c r="N89" i="1"/>
  <c r="N90" i="1"/>
  <c r="N92" i="1"/>
  <c r="N93" i="1"/>
  <c r="N94" i="1"/>
  <c r="N95" i="1"/>
  <c r="N96" i="1"/>
  <c r="N97" i="1"/>
  <c r="N98" i="1"/>
  <c r="N99" i="1"/>
  <c r="N101" i="1"/>
  <c r="N102" i="1"/>
  <c r="N103" i="1"/>
  <c r="N104" i="1"/>
  <c r="N105" i="1"/>
  <c r="N106" i="1"/>
  <c r="N107" i="1"/>
  <c r="N108" i="1"/>
  <c r="N109" i="1"/>
  <c r="N110" i="1"/>
  <c r="N111" i="1"/>
  <c r="N112" i="1"/>
  <c r="N113" i="1"/>
  <c r="N114" i="1"/>
  <c r="N115" i="1"/>
  <c r="N116" i="1"/>
  <c r="N117" i="1"/>
  <c r="N118" i="1"/>
  <c r="N119" i="1"/>
  <c r="N121" i="1"/>
  <c r="N122" i="1"/>
  <c r="N123" i="1"/>
  <c r="N124" i="1"/>
  <c r="N125" i="1"/>
  <c r="N126" i="1"/>
  <c r="N127" i="1"/>
  <c r="N128" i="1"/>
  <c r="N129" i="1"/>
  <c r="N131" i="1"/>
  <c r="N132" i="1"/>
  <c r="N133" i="1"/>
  <c r="N134" i="1"/>
  <c r="N135" i="1"/>
  <c r="N136" i="1"/>
  <c r="N137" i="1"/>
  <c r="N138" i="1"/>
  <c r="N139" i="1"/>
  <c r="N141" i="1"/>
  <c r="N142" i="1"/>
  <c r="N143" i="1"/>
  <c r="N144" i="1"/>
  <c r="N145" i="1"/>
  <c r="N146" i="1"/>
  <c r="N147" i="1"/>
  <c r="N148" i="1"/>
  <c r="N149" i="1"/>
  <c r="N151" i="1"/>
  <c r="N152" i="1"/>
  <c r="N153" i="1"/>
  <c r="N154" i="1"/>
  <c r="N155" i="1"/>
  <c r="N156" i="1"/>
  <c r="N157" i="1"/>
  <c r="N158" i="1"/>
  <c r="N159" i="1"/>
  <c r="N164" i="1"/>
  <c r="N165" i="1"/>
  <c r="N167" i="1"/>
  <c r="N168" i="1"/>
  <c r="N169" i="1"/>
  <c r="N170" i="1"/>
  <c r="N171" i="1"/>
  <c r="N172" i="1"/>
  <c r="N173" i="1"/>
  <c r="N174" i="1"/>
  <c r="N175" i="1"/>
  <c r="N177" i="1"/>
  <c r="N178" i="1"/>
  <c r="N179" i="1"/>
  <c r="N180" i="1"/>
  <c r="N182" i="1"/>
  <c r="N184" i="1"/>
  <c r="N185" i="1"/>
  <c r="N186" i="1"/>
  <c r="N188" i="1"/>
  <c r="N189" i="1"/>
  <c r="N190" i="1"/>
  <c r="N191" i="1"/>
  <c r="N193" i="1"/>
  <c r="N194" i="1"/>
  <c r="N195" i="1"/>
  <c r="N197" i="1"/>
  <c r="N199" i="1"/>
  <c r="N200" i="1"/>
  <c r="N201" i="1"/>
  <c r="N202" i="1"/>
  <c r="N203" i="1"/>
  <c r="N204" i="1"/>
  <c r="N205" i="1"/>
  <c r="N207" i="1"/>
  <c r="N208" i="1"/>
  <c r="N209" i="1"/>
  <c r="N210" i="1"/>
  <c r="N211" i="1"/>
  <c r="N212" i="1"/>
  <c r="N213" i="1"/>
  <c r="N214" i="1"/>
  <c r="N215" i="1"/>
  <c r="N216" i="1"/>
  <c r="N217" i="1"/>
  <c r="N218" i="1"/>
  <c r="N219" i="1"/>
  <c r="N220" i="1"/>
  <c r="N221" i="1"/>
  <c r="N222" i="1"/>
  <c r="N223" i="1"/>
  <c r="N226" i="1"/>
  <c r="N224" i="1"/>
  <c r="N227" i="1"/>
  <c r="N229" i="1"/>
  <c r="N230" i="1"/>
  <c r="N231" i="1"/>
  <c r="N232" i="1"/>
  <c r="N233" i="1"/>
  <c r="N234" i="1"/>
  <c r="N235" i="1"/>
  <c r="N236" i="1"/>
  <c r="N237" i="1"/>
  <c r="N238" i="1"/>
  <c r="N239" i="1"/>
  <c r="N240" i="1"/>
  <c r="N241" i="1"/>
  <c r="N242" i="1"/>
  <c r="N243" i="1"/>
  <c r="N244" i="1"/>
  <c r="N245" i="1"/>
  <c r="N246" i="1"/>
  <c r="N247" i="1"/>
  <c r="N248" i="1"/>
  <c r="N249" i="1"/>
  <c r="N250" i="1"/>
  <c r="N251" i="1"/>
  <c r="N253" i="1"/>
  <c r="N254" i="1"/>
  <c r="N255" i="1"/>
  <c r="N256" i="1"/>
  <c r="N258" i="1"/>
  <c r="N262" i="1"/>
  <c r="N4" i="1"/>
  <c r="M21" i="1" l="1"/>
  <c r="N21" i="1" l="1"/>
  <c r="M61" i="1"/>
  <c r="M183" i="1"/>
  <c r="N183" i="1" s="1"/>
  <c r="M257" i="1"/>
  <c r="N257" i="1" s="1"/>
  <c r="L198" i="1"/>
  <c r="M198" i="1"/>
  <c r="L192" i="1"/>
  <c r="M192" i="1"/>
  <c r="D193" i="1"/>
  <c r="N187" i="1"/>
  <c r="M181" i="1"/>
  <c r="L228" i="1" l="1"/>
  <c r="L259" i="1" s="1"/>
  <c r="N198" i="1"/>
  <c r="N192" i="1"/>
  <c r="N181" i="1"/>
  <c r="M100" i="1"/>
  <c r="N100" i="1" s="1"/>
  <c r="M71" i="1"/>
  <c r="N71" i="1" s="1"/>
  <c r="N61" i="1"/>
  <c r="M60" i="1"/>
  <c r="N60" i="1" s="1"/>
  <c r="L261" i="1" l="1"/>
  <c r="L263" i="1" s="1"/>
  <c r="L264" i="1"/>
  <c r="M206" i="1"/>
  <c r="M228" i="1" s="1"/>
  <c r="N206" i="1" l="1"/>
  <c r="N228" i="1"/>
  <c r="M120" i="1"/>
  <c r="N120" i="1" s="1"/>
  <c r="N260" i="1"/>
  <c r="M77" i="1"/>
  <c r="M85" i="1" l="1"/>
  <c r="N77" i="1"/>
  <c r="M91" i="1"/>
  <c r="N91" i="1" s="1"/>
  <c r="N85" i="1" l="1"/>
  <c r="M259" i="1"/>
  <c r="M62" i="1"/>
  <c r="N62" i="1" s="1"/>
  <c r="K77" i="1"/>
  <c r="D4" i="1" l="1"/>
  <c r="D5" i="1"/>
  <c r="D6" i="1"/>
  <c r="D7" i="1"/>
  <c r="C9" i="1"/>
  <c r="C223" i="1" s="1"/>
  <c r="D12" i="1"/>
  <c r="D13" i="1"/>
  <c r="D14" i="1"/>
  <c r="D15" i="1"/>
  <c r="D16" i="1"/>
  <c r="D17" i="1"/>
  <c r="D18" i="1"/>
  <c r="D19" i="1"/>
  <c r="C22" i="1"/>
  <c r="D30" i="1"/>
  <c r="D31" i="1"/>
  <c r="D32" i="1"/>
  <c r="D33" i="1"/>
  <c r="D35" i="1"/>
  <c r="D36" i="1"/>
  <c r="D37" i="1"/>
  <c r="D38" i="1"/>
  <c r="D43" i="1"/>
  <c r="C45" i="1"/>
  <c r="D45" i="1" s="1"/>
  <c r="D61" i="1"/>
  <c r="D69" i="1"/>
  <c r="D70" i="1"/>
  <c r="C71" i="1"/>
  <c r="D72" i="1"/>
  <c r="D73" i="1"/>
  <c r="D74" i="1"/>
  <c r="D75" i="1"/>
  <c r="D76" i="1"/>
  <c r="C77" i="1"/>
  <c r="D78" i="1"/>
  <c r="D79" i="1"/>
  <c r="D80" i="1"/>
  <c r="D81" i="1"/>
  <c r="D82" i="1"/>
  <c r="D83" i="1"/>
  <c r="D89" i="1"/>
  <c r="D91" i="1" s="1"/>
  <c r="C91" i="1"/>
  <c r="D95" i="1"/>
  <c r="D96" i="1"/>
  <c r="C97" i="1"/>
  <c r="D97" i="1" s="1"/>
  <c r="D98" i="1"/>
  <c r="C99" i="1"/>
  <c r="D99" i="1" s="1"/>
  <c r="C100" i="1"/>
  <c r="D101" i="1"/>
  <c r="D102" i="1"/>
  <c r="D103" i="1"/>
  <c r="D104" i="1"/>
  <c r="D106" i="1"/>
  <c r="D107" i="1"/>
  <c r="D108" i="1"/>
  <c r="D109" i="1"/>
  <c r="D110" i="1"/>
  <c r="C111" i="1"/>
  <c r="D111" i="1"/>
  <c r="D112" i="1"/>
  <c r="D113" i="1"/>
  <c r="D114" i="1"/>
  <c r="D115" i="1"/>
  <c r="D116" i="1"/>
  <c r="D118" i="1"/>
  <c r="D124" i="1"/>
  <c r="D125" i="1"/>
  <c r="D126" i="1"/>
  <c r="D127" i="1"/>
  <c r="D128" i="1"/>
  <c r="C130" i="1"/>
  <c r="D134" i="1"/>
  <c r="D135" i="1"/>
  <c r="D136" i="1"/>
  <c r="D138" i="1"/>
  <c r="C140" i="1"/>
  <c r="D144" i="1"/>
  <c r="D145" i="1"/>
  <c r="D146" i="1"/>
  <c r="D147" i="1"/>
  <c r="D148" i="1"/>
  <c r="C150" i="1"/>
  <c r="D154" i="1"/>
  <c r="D155" i="1"/>
  <c r="D156" i="1"/>
  <c r="D157" i="1"/>
  <c r="D158" i="1"/>
  <c r="D159" i="1"/>
  <c r="D162" i="1"/>
  <c r="C166" i="1"/>
  <c r="D170" i="1"/>
  <c r="D171" i="1"/>
  <c r="D172" i="1"/>
  <c r="D173" i="1"/>
  <c r="D174" i="1"/>
  <c r="C176" i="1"/>
  <c r="C180" i="1"/>
  <c r="D180" i="1" s="1"/>
  <c r="D188" i="1"/>
  <c r="D189" i="1"/>
  <c r="D190" i="1"/>
  <c r="D191" i="1"/>
  <c r="C192" i="1"/>
  <c r="D192" i="1"/>
  <c r="D197" i="1"/>
  <c r="C198" i="1"/>
  <c r="D199" i="1"/>
  <c r="D200" i="1"/>
  <c r="D201" i="1"/>
  <c r="D205" i="1"/>
  <c r="C207" i="1"/>
  <c r="C206" i="1" s="1"/>
  <c r="D209" i="1"/>
  <c r="D210" i="1"/>
  <c r="D211" i="1"/>
  <c r="D212" i="1"/>
  <c r="D213" i="1"/>
  <c r="C214" i="1"/>
  <c r="D214" i="1" s="1"/>
  <c r="D215" i="1"/>
  <c r="D216" i="1"/>
  <c r="D217" i="1"/>
  <c r="D218" i="1"/>
  <c r="D219" i="1"/>
  <c r="D220" i="1"/>
  <c r="D221" i="1"/>
  <c r="D222" i="1"/>
  <c r="D224" i="1"/>
  <c r="D232" i="1"/>
  <c r="D233" i="1"/>
  <c r="D235" i="1"/>
  <c r="D236" i="1"/>
  <c r="D237" i="1"/>
  <c r="D238" i="1"/>
  <c r="D244" i="1"/>
  <c r="C257" i="1"/>
  <c r="M264" i="1" l="1"/>
  <c r="N264" i="1" s="1"/>
  <c r="N259" i="1"/>
  <c r="M261" i="1"/>
  <c r="D260" i="1"/>
  <c r="D198" i="1"/>
  <c r="D140" i="1"/>
  <c r="C85" i="1"/>
  <c r="C260" i="1"/>
  <c r="D207" i="1"/>
  <c r="D206" i="1" s="1"/>
  <c r="C228" i="1"/>
  <c r="D150" i="1"/>
  <c r="D71" i="1"/>
  <c r="D77" i="1"/>
  <c r="D130" i="1"/>
  <c r="D100" i="1"/>
  <c r="D120" i="1" s="1"/>
  <c r="D257" i="1"/>
  <c r="D176" i="1"/>
  <c r="D166" i="1"/>
  <c r="D60" i="1"/>
  <c r="D62" i="1" s="1"/>
  <c r="C61" i="1"/>
  <c r="C120" i="1"/>
  <c r="C60" i="1"/>
  <c r="F61" i="1"/>
  <c r="G61" i="1"/>
  <c r="H61" i="1"/>
  <c r="M263" i="1" l="1"/>
  <c r="N263" i="1" s="1"/>
  <c r="N261" i="1"/>
  <c r="D85" i="1"/>
  <c r="C259" i="1"/>
  <c r="C261" i="1" s="1"/>
  <c r="D228" i="1"/>
  <c r="D259" i="1" s="1"/>
  <c r="D261" i="1" s="1"/>
  <c r="D263" i="1" s="1"/>
  <c r="C62" i="1"/>
  <c r="K176" i="1"/>
  <c r="C263" i="1" l="1"/>
  <c r="C264" i="1"/>
  <c r="D264" i="1"/>
  <c r="K155" i="1"/>
  <c r="K207" i="1" l="1"/>
  <c r="K111" i="1"/>
  <c r="J61" i="1"/>
  <c r="K61" i="1"/>
  <c r="K211" i="1" l="1"/>
  <c r="K212" i="1"/>
  <c r="K89" i="1"/>
  <c r="K124" i="1"/>
  <c r="K134" i="1"/>
  <c r="K110" i="1"/>
  <c r="K99" i="1"/>
  <c r="K180" i="1"/>
  <c r="K257" i="1" l="1"/>
  <c r="K206" i="1"/>
  <c r="K198" i="1"/>
  <c r="K192" i="1"/>
  <c r="K166" i="1"/>
  <c r="K150" i="1"/>
  <c r="K140" i="1"/>
  <c r="K130" i="1"/>
  <c r="K100" i="1"/>
  <c r="K71" i="1"/>
  <c r="K19" i="1" l="1"/>
  <c r="K60" i="1" l="1"/>
  <c r="K260" i="1"/>
  <c r="K120" i="1"/>
  <c r="J162" i="1"/>
  <c r="J166" i="1" l="1"/>
  <c r="J100" i="1"/>
  <c r="K62" i="1"/>
  <c r="J257" i="1"/>
  <c r="J111" i="1"/>
  <c r="J260" i="1" s="1"/>
  <c r="J120" i="1" l="1"/>
  <c r="J206" i="1"/>
  <c r="K188" i="1" l="1"/>
  <c r="K187" i="1" s="1"/>
  <c r="K69" i="1" l="1"/>
  <c r="K85" i="1" l="1"/>
  <c r="K216" i="1"/>
  <c r="K228" i="1" s="1"/>
  <c r="J216" i="1"/>
  <c r="J71" i="1" l="1"/>
  <c r="J198" i="1"/>
  <c r="J192" i="1"/>
  <c r="J228" i="1" s="1"/>
  <c r="J176" i="1"/>
  <c r="J150" i="1"/>
  <c r="J140" i="1"/>
  <c r="J130" i="1"/>
  <c r="J91" i="1"/>
  <c r="K91" i="1"/>
  <c r="I91" i="1"/>
  <c r="K259" i="1" l="1"/>
  <c r="K264" i="1" l="1"/>
  <c r="K261" i="1"/>
  <c r="J77" i="1"/>
  <c r="J17" i="1"/>
  <c r="J60" i="1" s="1"/>
  <c r="K263" i="1" l="1"/>
  <c r="J85" i="1"/>
  <c r="J259" i="1" s="1"/>
  <c r="I45" i="1"/>
  <c r="I244" i="1"/>
  <c r="J62" i="1" l="1"/>
  <c r="I257" i="1"/>
  <c r="I17" i="1"/>
  <c r="J261" i="1" l="1"/>
  <c r="J264" i="1"/>
  <c r="I206" i="1"/>
  <c r="I100" i="1"/>
  <c r="H12" i="1"/>
  <c r="H13" i="1"/>
  <c r="H15" i="1"/>
  <c r="H71" i="1"/>
  <c r="H77" i="1"/>
  <c r="H100" i="1"/>
  <c r="H111" i="1"/>
  <c r="H91" i="1"/>
  <c r="H130" i="1"/>
  <c r="H140" i="1"/>
  <c r="H150" i="1"/>
  <c r="H155" i="1"/>
  <c r="H166" i="1" s="1"/>
  <c r="H176" i="1"/>
  <c r="H190" i="1"/>
  <c r="H192" i="1"/>
  <c r="H198" i="1"/>
  <c r="H206" i="1"/>
  <c r="H223" i="1"/>
  <c r="H257" i="1"/>
  <c r="I114" i="1"/>
  <c r="I21" i="1"/>
  <c r="I61" i="1" s="1"/>
  <c r="E15" i="1"/>
  <c r="I189" i="1"/>
  <c r="I77" i="1"/>
  <c r="I71" i="1"/>
  <c r="I192" i="1"/>
  <c r="I198" i="1"/>
  <c r="I140" i="1"/>
  <c r="I130" i="1"/>
  <c r="I150" i="1"/>
  <c r="I166" i="1"/>
  <c r="I176" i="1"/>
  <c r="G198" i="1"/>
  <c r="G206" i="1"/>
  <c r="G164" i="1"/>
  <c r="G166" i="1" s="1"/>
  <c r="G15" i="1"/>
  <c r="G60" i="1" s="1"/>
  <c r="G71" i="1"/>
  <c r="G77" i="1"/>
  <c r="G100" i="1"/>
  <c r="G111" i="1"/>
  <c r="G260" i="1" s="1"/>
  <c r="G91" i="1"/>
  <c r="G130" i="1"/>
  <c r="G140" i="1"/>
  <c r="G150" i="1"/>
  <c r="G176" i="1"/>
  <c r="G192" i="1"/>
  <c r="G257" i="1"/>
  <c r="F71" i="1"/>
  <c r="F82" i="1"/>
  <c r="F77" i="1" s="1"/>
  <c r="F15" i="1"/>
  <c r="F19" i="1"/>
  <c r="F91" i="1"/>
  <c r="F100" i="1"/>
  <c r="F111" i="1"/>
  <c r="F260" i="1" s="1"/>
  <c r="F130" i="1"/>
  <c r="F140" i="1"/>
  <c r="F150" i="1"/>
  <c r="F154" i="1"/>
  <c r="F166" i="1" s="1"/>
  <c r="F174" i="1"/>
  <c r="F176" i="1" s="1"/>
  <c r="F192" i="1"/>
  <c r="F198" i="1"/>
  <c r="F206" i="1"/>
  <c r="F216" i="1"/>
  <c r="F257" i="1"/>
  <c r="E145" i="1"/>
  <c r="E146" i="1"/>
  <c r="E147" i="1"/>
  <c r="E148" i="1"/>
  <c r="E170" i="1"/>
  <c r="E171" i="1"/>
  <c r="E172" i="1"/>
  <c r="E173" i="1"/>
  <c r="E71" i="1"/>
  <c r="E216" i="1"/>
  <c r="E82" i="1"/>
  <c r="E77" i="1" s="1"/>
  <c r="E192" i="1"/>
  <c r="E198" i="1"/>
  <c r="E206" i="1"/>
  <c r="E91" i="1"/>
  <c r="E101" i="1"/>
  <c r="E100" i="1" s="1"/>
  <c r="E111" i="1"/>
  <c r="E130" i="1"/>
  <c r="E140" i="1"/>
  <c r="E154" i="1"/>
  <c r="E166" i="1" s="1"/>
  <c r="E223" i="1"/>
  <c r="E257" i="1"/>
  <c r="E9" i="1"/>
  <c r="E19" i="1"/>
  <c r="I228" i="1" l="1"/>
  <c r="F85" i="1"/>
  <c r="G85" i="1"/>
  <c r="H60" i="1"/>
  <c r="H62" i="1" s="1"/>
  <c r="E61" i="1"/>
  <c r="E60" i="1"/>
  <c r="H85" i="1"/>
  <c r="E85" i="1"/>
  <c r="F60" i="1"/>
  <c r="F62" i="1" s="1"/>
  <c r="I85" i="1"/>
  <c r="I60" i="1"/>
  <c r="G62" i="1"/>
  <c r="G120" i="1"/>
  <c r="H260" i="1"/>
  <c r="F120" i="1"/>
  <c r="J263" i="1"/>
  <c r="I111" i="1"/>
  <c r="I260" i="1" s="1"/>
  <c r="H120" i="1"/>
  <c r="F228" i="1"/>
  <c r="E260" i="1"/>
  <c r="G228" i="1"/>
  <c r="E228" i="1"/>
  <c r="H228" i="1"/>
  <c r="E176" i="1"/>
  <c r="E150" i="1"/>
  <c r="E120" i="1"/>
  <c r="G259" i="1" l="1"/>
  <c r="G261" i="1" s="1"/>
  <c r="G263" i="1" s="1"/>
  <c r="F259" i="1"/>
  <c r="F261" i="1" s="1"/>
  <c r="F263" i="1" s="1"/>
  <c r="H259" i="1"/>
  <c r="H261" i="1" s="1"/>
  <c r="H263" i="1" s="1"/>
  <c r="E259" i="1"/>
  <c r="E261" i="1" s="1"/>
  <c r="E62" i="1"/>
  <c r="I120" i="1"/>
  <c r="I62" i="1"/>
  <c r="G264" i="1" l="1"/>
  <c r="I259" i="1"/>
  <c r="E263" i="1"/>
  <c r="H264" i="1"/>
  <c r="F264" i="1"/>
  <c r="E264" i="1"/>
  <c r="I261" i="1" l="1"/>
  <c r="I264" i="1"/>
  <c r="I263" i="1" l="1"/>
</calcChain>
</file>

<file path=xl/comments1.xml><?xml version="1.0" encoding="utf-8"?>
<comments xmlns="http://schemas.openxmlformats.org/spreadsheetml/2006/main">
  <authors>
    <author>SCLS</author>
  </authors>
  <commentList>
    <comment ref="B102" authorId="0" shapeId="0">
      <text>
        <r>
          <rPr>
            <b/>
            <sz val="9"/>
            <color indexed="81"/>
            <rFont val="Tahoma"/>
            <family val="2"/>
          </rPr>
          <t>SCLS:</t>
        </r>
        <r>
          <rPr>
            <sz val="9"/>
            <color indexed="81"/>
            <rFont val="Tahoma"/>
            <family val="2"/>
          </rPr>
          <t xml:space="preserve">
2017 cataloging = $89,141.78
2017 cat credits = $17,324.20
2017 access = $9,972.42</t>
        </r>
      </text>
    </comment>
  </commentList>
</comments>
</file>

<file path=xl/sharedStrings.xml><?xml version="1.0" encoding="utf-8"?>
<sst xmlns="http://schemas.openxmlformats.org/spreadsheetml/2006/main" count="324" uniqueCount="301">
  <si>
    <t>ACCT #</t>
  </si>
  <si>
    <t>SUBPROGRAM/ ITEM/ACCOUNT CODE</t>
  </si>
  <si>
    <t>PROJECTED REVENUES</t>
  </si>
  <si>
    <t>REVENUE SOURCE</t>
  </si>
  <si>
    <t>STATE AIDS - 4010</t>
  </si>
  <si>
    <t>INTEREST INCOME - 4030</t>
  </si>
  <si>
    <t>ALLOCATED INTEREST - 4040</t>
  </si>
  <si>
    <t>GENERAL CARRYOVER - 4050</t>
  </si>
  <si>
    <t xml:space="preserve">MEMBER DELIVERY (BY COUNTY) - 4120  </t>
  </si>
  <si>
    <t>OTHER DELIVERY (LINK EXPRESS) - 4130</t>
  </si>
  <si>
    <t>PROCEEDS FROM SALE OF A VEHICLE - 4150</t>
  </si>
  <si>
    <t>MULTI-TYPE AND INTERSYSTEM DELIVERY - 4170</t>
  </si>
  <si>
    <t>SPECIAL REQUEST DELIVERY SERVICE - 4180</t>
  </si>
  <si>
    <t>WLA RENT - 4220</t>
  </si>
  <si>
    <t>ILS/TECHNOLOGY MEMBER PAYMENTS - 4242</t>
  </si>
  <si>
    <t>TECHNOLOGY CARRYOVER FOR EQUIPMENT REPLACEMENT - 4245</t>
  </si>
  <si>
    <t>ILS CARRYOVER FOR FUTURE DEVELOPMENT - 4270</t>
  </si>
  <si>
    <t>Consulting Services Fees - 4280</t>
  </si>
  <si>
    <t xml:space="preserve">          Marketing/PR/Advocacy Services</t>
  </si>
  <si>
    <t xml:space="preserve">          Web Services</t>
  </si>
  <si>
    <t xml:space="preserve">          Public Library Administration Services</t>
  </si>
  <si>
    <t xml:space="preserve">          CE Services</t>
  </si>
  <si>
    <t xml:space="preserve">          Youth Services</t>
  </si>
  <si>
    <t xml:space="preserve">          Building Design Services</t>
  </si>
  <si>
    <t>Foundation Admin Fees - 4290</t>
  </si>
  <si>
    <t>LSTA - TECHNOLOGY (11-142) - 9102</t>
  </si>
  <si>
    <t>LSTA - DELIVERY (11-116) - 9113</t>
  </si>
  <si>
    <t>LSTA-Serving the Homeless - 9120</t>
  </si>
  <si>
    <t>LSTA-DIGITAL CONTENT BUYING POOL - 9140</t>
  </si>
  <si>
    <t>Enterprise Wireless Income-9160</t>
  </si>
  <si>
    <t>MEMBERS DIGITAL CONTENT BUYING POOL - 9170</t>
  </si>
  <si>
    <t>TOTAL REVENUE ( without carry over funds)</t>
  </si>
  <si>
    <t>TOTAL CARRY OVER FUNDS</t>
  </si>
  <si>
    <t>GRAND TOTAL ALL REVENUE SOURCES</t>
  </si>
  <si>
    <t>PROJECTED EXPENDITURES</t>
  </si>
  <si>
    <t>INTERLOAN AND RESOURCE SERVICES</t>
  </si>
  <si>
    <t>MADISON PUBLIC LIBRARY - 5130</t>
  </si>
  <si>
    <t>DAMAGED MATERIALS - 5230</t>
  </si>
  <si>
    <t>OUT-OF-SYSTEM INTERLOAN - 5310</t>
  </si>
  <si>
    <t xml:space="preserve">WorldShare ILL: </t>
  </si>
  <si>
    <t xml:space="preserve">1/4 of OCLC Access Fee: </t>
  </si>
  <si>
    <t>IFM Fees:</t>
  </si>
  <si>
    <t>ONLINE CONTENT AND MEMBERSHIPS - 5320</t>
  </si>
  <si>
    <t>WPLC Membership:</t>
  </si>
  <si>
    <t xml:space="preserve">WPLC Purchasing Pool for e-Content: </t>
  </si>
  <si>
    <t xml:space="preserve">WiLS membership: </t>
  </si>
  <si>
    <t>SRLAAW:</t>
  </si>
  <si>
    <t>Recollection WI:</t>
  </si>
  <si>
    <t>SUBPROGRAM I. TOTALS</t>
  </si>
  <si>
    <t>MULTITYPE LIBRARY COOPERATION</t>
  </si>
  <si>
    <t>STAFF SALARIES AND WAGES - 5510</t>
  </si>
  <si>
    <t>SUBPROGRAM III. TOTALS</t>
  </si>
  <si>
    <t>ILS/TECHNOLOGY SERVICES</t>
  </si>
  <si>
    <t>ILS CONTRACTED SUPPORT - 5530</t>
  </si>
  <si>
    <t>ILS CONTRACTED DEVELOPMENT --5535</t>
  </si>
  <si>
    <t>ILS THIRD PARTY MAINTENANCE &amp; STARTUP -- 5540</t>
  </si>
  <si>
    <t>ILS TELENOTICE PHONE CHARGES -- 5545</t>
  </si>
  <si>
    <t>ILS STAFF SALARIES - 5550</t>
  </si>
  <si>
    <t>ILS CATALOGING SOFTWARE/CONTRACT - 5551</t>
  </si>
  <si>
    <t>ILS AUTHORITY CONTROL - 5552</t>
  </si>
  <si>
    <t>TECHNOLOGY: HARDWARE MAINTENANCE - 5555</t>
  </si>
  <si>
    <t>TECHNOLOGY: TELECOMMUNICATIONS/CENTRAL SERVER HARDWARE - 5560</t>
  </si>
  <si>
    <t>TECHNOLOGY: SOFTWARE LICENSES - 5565</t>
  </si>
  <si>
    <t>TECHNOLOGY: SUPPORT EQUIP. &amp; SERVICES - 5570</t>
  </si>
  <si>
    <t>TECHNOLOGY: BROADBAND LINES &amp; SERVICES - 5575</t>
  </si>
  <si>
    <t>TECHNOLOGY: STAFF SALARIES - 5580</t>
  </si>
  <si>
    <t>TECHNOLOGY CONTINGENCY - 5585</t>
  </si>
  <si>
    <t>ENTERPRISE WIRELESS CONTINGENCY EXP - 5586</t>
  </si>
  <si>
    <t>LIBRARY ONLINE CONTINGENCY EXP - 5587</t>
  </si>
  <si>
    <t>ILS CARRYOVER FOR FUTURE DEVELOPMENT - 5590</t>
  </si>
  <si>
    <t>ENTERPRISE WIRELESS EXPENSES-9161</t>
  </si>
  <si>
    <t>SUBPROGRAM II. TOTALS</t>
  </si>
  <si>
    <t>PUBLIC INFORMATION SERVICES</t>
  </si>
  <si>
    <t>STAFF SALARIES AND WAGES - 5710</t>
  </si>
  <si>
    <t>CONTRACTED PRINTING SERVICES - 5740</t>
  </si>
  <si>
    <t>SUPPLIES - 5750</t>
  </si>
  <si>
    <t>COPIER LEASE &amp; IN-HOUSE PRINTING - 5760</t>
  </si>
  <si>
    <t>PRODUCT/SERVICE AWARENESS - 5770</t>
  </si>
  <si>
    <t>SUBPROGRAM IV. TOTALS</t>
  </si>
  <si>
    <t>CONSULTANT SERVICES</t>
  </si>
  <si>
    <t>STAFF SALARIES AND WAGES - 6010</t>
  </si>
  <si>
    <t>TRAVEL AND CONT. ED. EXPENSES - 6040</t>
  </si>
  <si>
    <t>MILEAGE EXPENSES-6050</t>
  </si>
  <si>
    <t>SUBPROGRAM V. TOTALS</t>
  </si>
  <si>
    <t>CONT. ED &amp; PROF. DEVELOPMENT</t>
  </si>
  <si>
    <t>CONTRACTED TRAINING &amp; CONSULTATION - 7010</t>
  </si>
  <si>
    <t>PROFESSIONAL MATERIALS - 7030</t>
  </si>
  <si>
    <t>SUBSCRIPTIONS - 7050</t>
  </si>
  <si>
    <t>MEM LIB PROFESSIONAL DEVELOPMENT - 7070</t>
  </si>
  <si>
    <t>MEETING SUPPLIES - 7090</t>
  </si>
  <si>
    <t>SUBPROGRAM VIII. TOTALS</t>
  </si>
  <si>
    <t>DELIVERY AND MATERIALS CONTROL</t>
  </si>
  <si>
    <t>FLEET EXPENSES - 7210</t>
  </si>
  <si>
    <t>STAFF SALARIES - 7220</t>
  </si>
  <si>
    <t>BONDING, CARGO, AND FLEET INSURANCE - 7260</t>
  </si>
  <si>
    <t>SUPPLIES AND EQUIPMENT - 7270</t>
  </si>
  <si>
    <t>FLEET REPLACEMENT - 7280</t>
  </si>
  <si>
    <t>CONTRACTED SERVICES - 7290</t>
  </si>
  <si>
    <t>SUBPROGRAM IX. TOTALS</t>
  </si>
  <si>
    <t>PROGRAM DEVELOPMENT</t>
  </si>
  <si>
    <t>SLP LIVE PERFORMANCES - 7440</t>
  </si>
  <si>
    <t>SLP PRINTING AND SUPPLIES - 7450</t>
  </si>
  <si>
    <t>C &amp;Y A/SPECIAL NEEDS MATERIALS - 7470</t>
  </si>
  <si>
    <t>EXPERIMENTAL SERVICES FOR LIBRARIES - 7475</t>
  </si>
  <si>
    <t>SUBPROGRAM X. TOTALS</t>
  </si>
  <si>
    <t>ADMINISTRATION AND COORDINATION</t>
  </si>
  <si>
    <t>STAFF SALARIES AND WAGES - 7610</t>
  </si>
  <si>
    <t>FACILITY - HQ - 7650</t>
  </si>
  <si>
    <t xml:space="preserve">          7651 Rent</t>
  </si>
  <si>
    <t xml:space="preserve">          7652 Utilities</t>
  </si>
  <si>
    <t xml:space="preserve">          7653 Janitorial</t>
  </si>
  <si>
    <t xml:space="preserve">          7654 Offsite Storage</t>
  </si>
  <si>
    <t>SUPPLIES - 7655</t>
  </si>
  <si>
    <t xml:space="preserve">          7656 Administration</t>
  </si>
  <si>
    <t>VENDING EXPENSES - 7666</t>
  </si>
  <si>
    <t>TELEPHONE - 7670</t>
  </si>
  <si>
    <t xml:space="preserve">          7672 SC Headquarters</t>
  </si>
  <si>
    <t xml:space="preserve">          7673 Delivery</t>
  </si>
  <si>
    <t>POSTAGE - 7680</t>
  </si>
  <si>
    <t xml:space="preserve">          7681 Administration</t>
  </si>
  <si>
    <t xml:space="preserve">          7682 Automation</t>
  </si>
  <si>
    <t>BOARD TRAVEL &amp;  EXPENSES &amp; MEMBERSHIPS - 7690</t>
  </si>
  <si>
    <t>EMPLOYEE INSURANCES - 7700</t>
  </si>
  <si>
    <t xml:space="preserve">          7701 Health Insurance</t>
  </si>
  <si>
    <t xml:space="preserve">          7702 Income Continuation Insurance</t>
  </si>
  <si>
    <t xml:space="preserve">          7703 Dental Insurance</t>
  </si>
  <si>
    <t xml:space="preserve">          7704 Life Insurance</t>
  </si>
  <si>
    <t>WISCONSIN RETIREMENT - 7710</t>
  </si>
  <si>
    <t>SOCIAL SECURITY/MEDICARE (FICA) - 7720</t>
  </si>
  <si>
    <t>WORKERS COMP AND GENERAL INS - 7730</t>
  </si>
  <si>
    <t>UNEMPLOYMENT - 7735</t>
  </si>
  <si>
    <t>AUDIT - 7740</t>
  </si>
  <si>
    <t>CONTRACTED SERVICES HQ - 7745</t>
  </si>
  <si>
    <t>BOOKKEEPING - 7750</t>
  </si>
  <si>
    <t>Flexible Spending Account (FSA) Fees - 7751</t>
  </si>
  <si>
    <t>SCLS COMPUTER HARDWARE AND SUPPLIES - 7752</t>
  </si>
  <si>
    <t>SCLS OFFICE EQUIPMENT AND REPAIRS - 7760</t>
  </si>
  <si>
    <t>First Bus. Bank Fees Fixed Income Portfolio - 7771</t>
  </si>
  <si>
    <t>BANK SERVICE FEES - 8011</t>
  </si>
  <si>
    <t>LEGAL FEES-8015</t>
  </si>
  <si>
    <t>SUBPROGRAM XI. TOTALS</t>
  </si>
  <si>
    <t>SPECIAL FUNDS</t>
  </si>
  <si>
    <t>LSTA - TECHNOLOGY - 9103</t>
  </si>
  <si>
    <t>LSTA - DELIVERY - 9114</t>
  </si>
  <si>
    <t>LSTA - Serving the Homeless - 9121</t>
  </si>
  <si>
    <t>LSTA - DIGITAL CONTENT BUYING POOL - 9141</t>
  </si>
  <si>
    <t>MEMBERS DIGITAL CONTENT BUYING POOL - 9171</t>
  </si>
  <si>
    <t>SUBPROGRAM XIII. TOTALS</t>
  </si>
  <si>
    <t>PROJECTED EXPENDITURE TOTALS (without contingencies)</t>
  </si>
  <si>
    <t>PROJECTED CONTINGENCY EXPENSE TOTALS</t>
  </si>
  <si>
    <t>GRAND TOTAL</t>
  </si>
  <si>
    <t>Net Profit (Loss):  Total Revenue/Carryover - Total Expenses/Contingency</t>
  </si>
  <si>
    <t>Projected increase (or decrease) of contingency funds)</t>
  </si>
  <si>
    <t>2018 Budget</t>
  </si>
  <si>
    <t>OCLC Cataloging and Metadata Subscription</t>
  </si>
  <si>
    <t>No longer a separate fee</t>
  </si>
  <si>
    <t>Miscellaneous Admin Income - 4405</t>
  </si>
  <si>
    <t>LSTA-Serving Job Seekers (16-121) - 9125</t>
  </si>
  <si>
    <t>LSTA - Serving Job Seekers (16-121)- 9126</t>
  </si>
  <si>
    <t>DELIVERY/GENERAL CARRYOVER - 8010</t>
  </si>
  <si>
    <t>2019 Budget</t>
  </si>
  <si>
    <t>2018 Mid-Year</t>
  </si>
  <si>
    <t>WORKFORCE DEVELOPMENT EXP-6060</t>
  </si>
  <si>
    <t>DIGITIZATION EXPENSES-6070</t>
  </si>
  <si>
    <t>TEACH Training Grant</t>
  </si>
  <si>
    <t>3RD PARTY ANNUAL SUPPORT AND MAINTENANCE FEES - 4241</t>
  </si>
  <si>
    <t>Interest/Dividends Fixed Income - 4041</t>
  </si>
  <si>
    <t>Interest/Dividends CD Account - 4042</t>
  </si>
  <si>
    <t>CHANGE IN MARKET APPREC FIXED INC - 4060</t>
  </si>
  <si>
    <t>LSTA-Adverse Childhood Exp (16-211)</t>
  </si>
  <si>
    <t>3RD PARTY ANNUAL SUPPORT AND MAINTENANCE EXPENSES - 5591</t>
  </si>
  <si>
    <t>TECH CONTRACTED SERVICES - 5592</t>
  </si>
  <si>
    <t>YOUTH LITERACY SUPPLEMENTS-7430</t>
  </si>
  <si>
    <t>FBB fee CD Account - 7772</t>
  </si>
  <si>
    <t>LSTA-SERVING OLDER ADULTS</t>
  </si>
  <si>
    <t>2020 Budget</t>
  </si>
  <si>
    <t>Allocated interest is recorded in member holding accounts</t>
  </si>
  <si>
    <t>ILL/IFM for STP</t>
  </si>
  <si>
    <t xml:space="preserve">Madison Cataloging Contract:  </t>
  </si>
  <si>
    <t>2019 Mid-Year</t>
  </si>
  <si>
    <t>Back Up Collaboration System Contribution Income - 4243</t>
  </si>
  <si>
    <t>WISElearn Grant</t>
  </si>
  <si>
    <t>Back Up Collaboration LSTA</t>
  </si>
  <si>
    <t>Digitization Collaboration LSTA</t>
  </si>
  <si>
    <t>Back Up Collaboration Project Expenses - 5595</t>
  </si>
  <si>
    <t>Back Up Collaboration LSTA 2019</t>
  </si>
  <si>
    <t>MARATHON COUNTY DELIVERY - 7297</t>
  </si>
  <si>
    <t>2020 Mid-Year</t>
  </si>
  <si>
    <t>2021 Budget</t>
  </si>
  <si>
    <t>Closed out the CD investment</t>
  </si>
  <si>
    <t xml:space="preserve">adding $7,614 to Tech Carryover for extra PC support fees </t>
  </si>
  <si>
    <t>adding $5,146 to Tech Carryover for extra MyPC fees</t>
  </si>
  <si>
    <t>2022 Budget</t>
  </si>
  <si>
    <t>2021 Mid-Year</t>
  </si>
  <si>
    <t>CARES Grant</t>
  </si>
  <si>
    <t>Leadership Capacity Streamline LSTA</t>
  </si>
  <si>
    <t>Inclusive Services - Compassion Resilience LSTA</t>
  </si>
  <si>
    <t>ILS Migration LSTA</t>
  </si>
  <si>
    <t>Inclusive Services-Compassion Resilience LSTA</t>
  </si>
  <si>
    <t>LIBRARY OWNED EQUIPMENT</t>
  </si>
  <si>
    <t>DELIVERY FACILITY (not including rent) - 7295</t>
  </si>
  <si>
    <t>DELIVERY RENT - 7296</t>
  </si>
  <si>
    <t>adding $5,191 to Tech Carryover for extra MyPC fees</t>
  </si>
  <si>
    <t>Subtracting $3,293 from Tech Carryover for shortfall in PC Support fees</t>
  </si>
  <si>
    <t>Subtracting $3,293 from Tech Carryover for shortfall in PC Support fees and adding $5,191 to Tech Carryover for extra MyPC fees = $1,898</t>
  </si>
  <si>
    <t>Additional state aid approved for 2022 and 2023 budgets.  $2,543,429 is the new state aid for 2022, which is an increase of $343,463.  $2,749,508 is the new state aid for 2023.</t>
  </si>
  <si>
    <t>New Building Expenses</t>
  </si>
  <si>
    <t>Direct Benefit to Member Libraries</t>
  </si>
  <si>
    <t>Additional state aid for 2022 is $343,463.  Used $51,945 to restore consulting accounts.  Used $73,048 to balance delivery budget.  Used $32,400 to give 1% COL.  Have $186,070 left to spend. Propose $53,670 one-time to offset new building expenses. One time bonus in 2022 of 1% ($32,400). Balance ($100,000) to go toward something for libraries. Other factors to consider:  Increasing PT delivery wages to be covered by Delivery budget. All consulting staffing changes to be paid from current budget.  Looking forward to 2023, will use additional state aid to offset implementation of new delivery fee formula tbd as well as another COL for staff.</t>
  </si>
  <si>
    <t>2023 Budget</t>
  </si>
  <si>
    <t>2023 Notes</t>
  </si>
  <si>
    <t>Lease ends May 31, 2023</t>
  </si>
  <si>
    <t>Annual maintenance cost for licenses for My PC.  My PC = $3179.</t>
  </si>
  <si>
    <t>Sparsity (Increased Capacity) LSTA</t>
  </si>
  <si>
    <t>Decreased due to Professional Learning LSTA Grant, 2022-2023 and assuming we get a 2023-24 grant</t>
  </si>
  <si>
    <t>Increased $500 to keep up with increasing costs of materials</t>
  </si>
  <si>
    <r>
      <t>$1,000 base, $122 NCOA fee to match address to Nat'l database and $16,000 for Contegix, and $1,575 for SCLS website.</t>
    </r>
    <r>
      <rPr>
        <sz val="7"/>
        <rFont val="Calibri"/>
        <family val="2"/>
        <scheme val="minor"/>
      </rPr>
      <t xml:space="preserve">  Cascade tool for Drupal $2400</t>
    </r>
  </si>
  <si>
    <t>Does not include a wage grid increase.  Cost is up due to a reclassification of the position.</t>
  </si>
  <si>
    <t>Does not include a wage grid increase.  Cost is up due to a reclassification of three positions.</t>
  </si>
  <si>
    <t>Does not include a wage grid increase.  Cost includes reclassification of four positions.</t>
  </si>
  <si>
    <t>Does not include a wage grid increase.  Cost includes reclassification of three positions.</t>
  </si>
  <si>
    <t>Increased to level in between 2020 and 2021. Expect more travel to libraries, but not as much as pre-pandemic.</t>
  </si>
  <si>
    <t>Moved Mark's cell phone expenses to 7672</t>
  </si>
  <si>
    <t>Includes reclassification of 2 managers, reduction of one manager position, no other wage grid increases included. Reduced by $100,000 that will be paid for by the Delivery PLSR LSTA grant account 9114.</t>
  </si>
  <si>
    <t>Vehicles will come out of contingency.</t>
  </si>
  <si>
    <t>OverDrive $305,773, Advantage $20,000, Magazines $17,086. Does not include Transparent Languages as that is invoiced by WiLS</t>
  </si>
  <si>
    <t>This will pay for Tech Hardware for the backup collaboration</t>
  </si>
  <si>
    <t>Removed this amount from the tech hardware account and recorded it here as the Sparsity LSTA grant will cover this backup collaboration equipment.</t>
  </si>
  <si>
    <t>Proposed cost formula starting 2023</t>
  </si>
  <si>
    <t>Based on 2022 performance</t>
  </si>
  <si>
    <t>Professional Learning LSTA</t>
  </si>
  <si>
    <t>IDEA Project Grant</t>
  </si>
  <si>
    <t>$200 x 3 members (MAD, MFD, STP):  pd to DPI, not OCLC</t>
  </si>
  <si>
    <t>OverDrive $305,773, Advantage $20,000, Magazines $17,086. Does not include Transparent Language as that is invoiced by WiLS</t>
  </si>
  <si>
    <t>ILL WorldShare STP</t>
  </si>
  <si>
    <t xml:space="preserve">WorldCat Discovery Subscription (First Search)for members' patrons: </t>
  </si>
  <si>
    <t>If necessary, this can be reduced if we eliminate a lab replacement, however we have determined that we need 3 functioning labs for our services and replacing one each year is optimal. Reviewed by JA/VTL</t>
  </si>
  <si>
    <t>Increases are due to increased cost for additional backup space (Carbonite), the increasing costs of laptop replacement, and the addition of G-suite. This is a bare-bones budget. The only way we could reduce it is to have a bye year so we do not replace PCs on their normal replacement cycle (not optimal). Reviewed JA/VTL</t>
  </si>
  <si>
    <t>1/10 of 1% of SCLS 2022 state aid paid to SRLAAW for advocacy ($2,750). Madison will pay half of this. $100 for annual dues is suspended for 2023</t>
  </si>
  <si>
    <t>New Building Design Work</t>
  </si>
  <si>
    <t>New Building Landscaping</t>
  </si>
  <si>
    <t>New Building Construction Work</t>
  </si>
  <si>
    <t>New Building Furniture</t>
  </si>
  <si>
    <t>New Building Equipment</t>
  </si>
  <si>
    <t>New Building Loan Principal Payment</t>
  </si>
  <si>
    <t>FACILITY LOAN PRINCIPAL PMT</t>
  </si>
  <si>
    <t>FACILITY LOAN INTEREST PMT</t>
  </si>
  <si>
    <t>BUILDING PROJECT CARRYOVER</t>
  </si>
  <si>
    <t>2022 Mid-Year</t>
  </si>
  <si>
    <t xml:space="preserve"> 2023 starting amount = anticipated ending amount on 2022 mid-year budget which is 2021 audited amount plus anticipated increase in 2022</t>
  </si>
  <si>
    <t>2023 starting balance is estimated by taking the 2022 mid-year balance of $827,987.49 - purchase of 1 van ($33,000) and 1 truck ($53,000)</t>
  </si>
  <si>
    <t>Janitorial services $17,600, Garbage and Recycling $2,000</t>
  </si>
  <si>
    <t>$14,784.15/mo base rent thru 5/2023,  + $1729/mo taxes + $1296.75/mo CAM+ 1/2 of annual CAM/Taxes audit amt $5,500. Jan - May 2023</t>
  </si>
  <si>
    <t>Estimate based on more efficient building, but also additional square footage.  This amount is for Admin half only.</t>
  </si>
  <si>
    <t>$500 per quarter plus one trip fee</t>
  </si>
  <si>
    <t>About $800/month for cell phones, no Spectrum line in 2023, AT&amp;T VoIP service $100/mo (includes long distance), $50/mo voicemail</t>
  </si>
  <si>
    <t>6 VoIP lines and voicemail, Corey's cell phone</t>
  </si>
  <si>
    <t>Property $3,088, 5% workers comp $2790, Cyber $8,038, Business services bond $779, workers comp audit $579, Executive liability $3671</t>
  </si>
  <si>
    <t>Snow removal services $5,000 and CAM costs $24,000 - $4,969.23 for partial year</t>
  </si>
  <si>
    <t xml:space="preserve">Annual contingency fund contribution toward future replacement of equipment $10,000 and HVAC maintenance agreement $4,000, and one time purchase of Access Points in 2023 $15,000 </t>
  </si>
  <si>
    <t>LSTA-Delivery PLSR - Coordinator</t>
  </si>
  <si>
    <r>
      <t xml:space="preserve">ILS total expenses of $1,220,192 (includes GetIt)  - $5,000 Bibliotheca. = </t>
    </r>
    <r>
      <rPr>
        <b/>
        <u/>
        <sz val="7"/>
        <color theme="1"/>
        <rFont val="Calibri"/>
        <family val="2"/>
        <scheme val="minor"/>
      </rPr>
      <t>$1,215,192.</t>
    </r>
    <r>
      <rPr>
        <sz val="7"/>
        <color theme="1"/>
        <rFont val="Calibri"/>
        <family val="2"/>
        <scheme val="minor"/>
      </rPr>
      <t xml:space="preserve">    Bibliotheca income is in account 4241.  Of the $1,220,192 in expenses, Rio will be charged $5,467, MFD $18,588 and MFD Get it $501.00.  This is still included in account 4242 though.  Tech budget is $1,383,429 - SCLS contribution of $260,356 - $16,294 Bibliotheca ( in account 4241) - $8,949 of expenses covered by Sparsity LSTA grant.  Rio and MFD infrastructure fee of $7302 will also be recorded here and is part of this number. = </t>
    </r>
    <r>
      <rPr>
        <b/>
        <u/>
        <sz val="7"/>
        <color theme="1"/>
        <rFont val="Calibri"/>
        <family val="2"/>
        <scheme val="minor"/>
      </rPr>
      <t>$1,097,830</t>
    </r>
    <r>
      <rPr>
        <sz val="7"/>
        <color theme="1"/>
        <rFont val="Calibri"/>
        <family val="2"/>
        <scheme val="minor"/>
      </rPr>
      <t xml:space="preserve"> for Tech fees</t>
    </r>
  </si>
  <si>
    <t xml:space="preserve">Total cost is $70,936 but $8,949 is covered by the Sparsity LSTA </t>
  </si>
  <si>
    <t>Change from 2022 Mid-Year</t>
  </si>
  <si>
    <t>ARPA Hybrid Library Service Model</t>
  </si>
  <si>
    <t>ARPA IT Hardware</t>
  </si>
  <si>
    <r>
      <t xml:space="preserve">Signed 3 year contract w/ OCLC for 2023. Includes </t>
    </r>
    <r>
      <rPr>
        <u/>
        <sz val="7"/>
        <color theme="1"/>
        <rFont val="Calibri"/>
        <family val="2"/>
        <scheme val="minor"/>
      </rPr>
      <t>all</t>
    </r>
    <r>
      <rPr>
        <sz val="7"/>
        <color theme="1"/>
        <rFont val="Calibri"/>
        <family val="2"/>
        <scheme val="minor"/>
      </rPr>
      <t xml:space="preserve"> members under WIM</t>
    </r>
  </si>
  <si>
    <t>One flat fee for SCLS includes access for all under WIM except STP. MID is out of direct ILL. Billed July - June adjust at 6 mths. 3 year contract price</t>
  </si>
  <si>
    <t>3 year contract from OCLC</t>
  </si>
  <si>
    <t xml:space="preserve">Works as ILL loaning credit to offset when we have to pay to borrow. MAD earns more credit than has to pay out. </t>
  </si>
  <si>
    <t xml:space="preserve">Includes Bibliotheca support and maintenance fees charged to Bibliotheca ($21,294) of which $5,000 goes to ILS, and $16,294 goes to Technology, and MyPC fees to members ( $8,370) </t>
  </si>
  <si>
    <t>New Building Loan Interest Expense</t>
  </si>
  <si>
    <t xml:space="preserve">Rent for Jan - Nov 2023. $14,409.29 x 11 </t>
  </si>
  <si>
    <t>Half of new building loan pmt. Interest only in 2023.  No principal pmt</t>
  </si>
  <si>
    <t xml:space="preserve">No principal pmt for the $5.5 million loan. Interest only the first year.  Charging half to Admin and the other half to Delivery  First payment not due for  the additional $1 million loan until 2024. That will be $22,657.56 in principal, $59,342.47 in interest @ 4.75%. </t>
  </si>
  <si>
    <t>No principal pmt for the $5.5 million loan. Interest only the first year.  First payment not due for  the additional $1 million loan until 2024. That will be $22,657.56 in principal, $59,342.47 in interest @ 4.75%. Half of the new loan will be charged to Admin and the other half charged to Delivery.</t>
  </si>
  <si>
    <t>Increased to accommodate hybrid meetings.</t>
  </si>
  <si>
    <t>Need to re-evaluate Office Manager position. Added $5,000 for reclass.</t>
  </si>
  <si>
    <t>New Building Ground Lease</t>
  </si>
  <si>
    <t>Ground lease for Pankratz property</t>
  </si>
  <si>
    <t>$42,412.43 For moving expenses and $100,000 for furniture and appliances.</t>
  </si>
  <si>
    <t>Funds available in building fund for renovation and construction of new facility.</t>
  </si>
  <si>
    <t>Increased to accommodate higher prices to attend CEs and travel. ADM $4500 Delivery $1000 Consults $15,000 Tech/ILS $19,500</t>
  </si>
  <si>
    <t>WISCAT fees:  paid to DPI</t>
  </si>
  <si>
    <t>Does not include a wage grid increase.   On the 2023 mid-year, move Tracie to 10% 5710 and 90% 6010.</t>
  </si>
  <si>
    <t>Reflects declining interest rates into 2023.</t>
  </si>
  <si>
    <t>interest/dividend income projected, based on FBB projections and 2021-2022 performance</t>
  </si>
  <si>
    <t>Reflects 15% reduction in UW Contract in 2022</t>
  </si>
  <si>
    <t>2nd year of $100,000 DPI LSTA grant for implementation of the delivery hub system</t>
  </si>
  <si>
    <t>Reflects 11 months in 2023</t>
  </si>
  <si>
    <t>The cost of construction, engineering and design will be paid from building carryover fund.  The costs reflected in these new building expense accounts are for one time expenses in 2023 or new on-going expenses to maintain the new building.</t>
  </si>
  <si>
    <t>Reallocating these funds to Delivery and Technology cost formulas in 2023.</t>
  </si>
  <si>
    <t xml:space="preserve">Returning to full budget </t>
  </si>
  <si>
    <t>Budgeting 4% increase</t>
  </si>
  <si>
    <t>No fees.  On premium holiday.</t>
  </si>
  <si>
    <t>Budgeting 11% increase.</t>
  </si>
  <si>
    <t>Budgeting 6.75%</t>
  </si>
  <si>
    <t>Funds available for renovation, design and construction of new facility.</t>
  </si>
  <si>
    <t xml:space="preserve">Delivery LSTA grant for statewide delivery </t>
  </si>
  <si>
    <t>Year 2 of $100,000 DPI LSTA grant for implementation of the delivery hub system.  Grant funds will be used to supplement Delivery salaries.</t>
  </si>
  <si>
    <t>Split out e-commerce funds at mid-year.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</si>
</sst>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8" x14ac:knownFonts="1">
    <font>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7"/>
      <color theme="1"/>
      <name val="Calibri"/>
      <family val="2"/>
      <scheme val="minor"/>
    </font>
    <font>
      <sz val="7"/>
      <name val="Calibri"/>
      <family val="2"/>
      <scheme val="minor"/>
    </font>
    <font>
      <b/>
      <u/>
      <sz val="7"/>
      <color theme="1"/>
      <name val="Calibri"/>
      <family val="2"/>
      <scheme val="minor"/>
    </font>
    <font>
      <u/>
      <sz val="7"/>
      <color theme="1"/>
      <name val="Calibri"/>
      <family val="2"/>
      <scheme val="minor"/>
    </font>
  </fonts>
  <fills count="3">
    <fill>
      <patternFill patternType="none"/>
    </fill>
    <fill>
      <patternFill patternType="gray125"/>
    </fill>
    <fill>
      <patternFill patternType="solid">
        <fgColor theme="5" tint="0.79998168889431442"/>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19">
    <xf numFmtId="0" fontId="0" fillId="0" borderId="0" xfId="0"/>
    <xf numFmtId="0" fontId="0" fillId="0" borderId="0" xfId="0" applyFill="1"/>
    <xf numFmtId="0" fontId="4" fillId="0" borderId="0" xfId="0" applyFont="1" applyAlignment="1">
      <alignment wrapText="1"/>
    </xf>
    <xf numFmtId="164" fontId="4" fillId="0" borderId="0" xfId="1" applyNumberFormat="1" applyFont="1" applyFill="1" applyAlignment="1">
      <alignment wrapText="1"/>
    </xf>
    <xf numFmtId="0" fontId="4" fillId="0" borderId="0" xfId="0" applyFont="1" applyFill="1" applyAlignment="1">
      <alignment wrapText="1"/>
    </xf>
    <xf numFmtId="164" fontId="4" fillId="0" borderId="0" xfId="1" applyNumberFormat="1" applyFont="1" applyFill="1"/>
    <xf numFmtId="0" fontId="4" fillId="0" borderId="0" xfId="0" applyFont="1" applyAlignment="1">
      <alignment horizontal="left" wrapText="1"/>
    </xf>
    <xf numFmtId="164" fontId="4" fillId="0" borderId="0" xfId="0" applyNumberFormat="1" applyFont="1" applyFill="1"/>
    <xf numFmtId="44" fontId="4" fillId="0" borderId="0" xfId="1" applyFont="1" applyFill="1"/>
    <xf numFmtId="44" fontId="4" fillId="0" borderId="0" xfId="0" applyNumberFormat="1" applyFont="1" applyFill="1"/>
    <xf numFmtId="44" fontId="4" fillId="0" borderId="0" xfId="1" applyFont="1" applyFill="1" applyAlignment="1">
      <alignment wrapText="1"/>
    </xf>
    <xf numFmtId="0" fontId="4" fillId="0" borderId="0" xfId="0" applyFont="1" applyFill="1" applyAlignment="1"/>
    <xf numFmtId="0" fontId="4" fillId="0" borderId="0" xfId="0" applyFont="1" applyFill="1" applyAlignment="1">
      <alignment horizontal="left" wrapText="1"/>
    </xf>
    <xf numFmtId="164" fontId="4" fillId="0" borderId="0" xfId="1" applyNumberFormat="1" applyFont="1" applyFill="1" applyAlignment="1">
      <alignment vertical="top" wrapText="1"/>
    </xf>
    <xf numFmtId="0" fontId="4" fillId="0" borderId="0" xfId="0" applyFont="1" applyFill="1"/>
    <xf numFmtId="0" fontId="4" fillId="0" borderId="0" xfId="0" applyFont="1" applyFill="1" applyAlignment="1">
      <alignment horizontal="right" wrapText="1"/>
    </xf>
    <xf numFmtId="164" fontId="4" fillId="2" borderId="0" xfId="1" applyNumberFormat="1" applyFont="1" applyFill="1"/>
    <xf numFmtId="164" fontId="4" fillId="2" borderId="0" xfId="0" applyNumberFormat="1" applyFont="1" applyFill="1"/>
    <xf numFmtId="164" fontId="4" fillId="2" borderId="0" xfId="1" applyNumberFormat="1" applyFont="1" applyFill="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69"/>
  <sheetViews>
    <sheetView tabSelected="1" zoomScale="150" zoomScaleNormal="150" workbookViewId="0">
      <pane ySplit="1" topLeftCell="A95" activePane="bottomLeft" state="frozen"/>
      <selection pane="bottomLeft" activeCell="O98" sqref="O98"/>
    </sheetView>
  </sheetViews>
  <sheetFormatPr defaultColWidth="15.6640625" defaultRowHeight="14.4" x14ac:dyDescent="0.3"/>
  <cols>
    <col min="1" max="1" width="5.44140625" style="14" customWidth="1"/>
    <col min="2" max="2" width="23.77734375" style="2" customWidth="1"/>
    <col min="3" max="10" width="1.6640625" style="5" hidden="1" customWidth="1"/>
    <col min="11" max="13" width="15.6640625" style="5"/>
    <col min="14" max="14" width="12.5546875" style="5" customWidth="1"/>
    <col min="15" max="15" width="42.109375" style="11" customWidth="1"/>
  </cols>
  <sheetData>
    <row r="1" spans="1:15" ht="24" customHeight="1" x14ac:dyDescent="0.3">
      <c r="A1" s="14" t="s">
        <v>0</v>
      </c>
      <c r="B1" s="2" t="s">
        <v>1</v>
      </c>
      <c r="C1" s="3" t="s">
        <v>153</v>
      </c>
      <c r="D1" s="3" t="s">
        <v>161</v>
      </c>
      <c r="E1" s="3" t="s">
        <v>160</v>
      </c>
      <c r="F1" s="3" t="s">
        <v>179</v>
      </c>
      <c r="G1" s="3" t="s">
        <v>175</v>
      </c>
      <c r="H1" s="3" t="s">
        <v>187</v>
      </c>
      <c r="I1" s="3" t="s">
        <v>188</v>
      </c>
      <c r="J1" s="3" t="s">
        <v>193</v>
      </c>
      <c r="K1" s="3" t="s">
        <v>192</v>
      </c>
      <c r="L1" s="3" t="s">
        <v>248</v>
      </c>
      <c r="M1" s="18" t="s">
        <v>209</v>
      </c>
      <c r="N1" s="3" t="s">
        <v>263</v>
      </c>
      <c r="O1" s="3" t="s">
        <v>210</v>
      </c>
    </row>
    <row r="2" spans="1:15" x14ac:dyDescent="0.3">
      <c r="B2" s="2" t="s">
        <v>2</v>
      </c>
      <c r="M2" s="16"/>
    </row>
    <row r="3" spans="1:15" x14ac:dyDescent="0.3">
      <c r="B3" s="2" t="s">
        <v>3</v>
      </c>
      <c r="M3" s="16"/>
    </row>
    <row r="4" spans="1:15" ht="30" x14ac:dyDescent="0.3">
      <c r="A4" s="14">
        <v>4010</v>
      </c>
      <c r="B4" s="2" t="s">
        <v>4</v>
      </c>
      <c r="C4" s="5">
        <v>2131274</v>
      </c>
      <c r="D4" s="5">
        <f>C4</f>
        <v>2131274</v>
      </c>
      <c r="E4" s="5">
        <v>2199966</v>
      </c>
      <c r="F4" s="5">
        <v>2199966</v>
      </c>
      <c r="G4" s="5">
        <v>2199966</v>
      </c>
      <c r="H4" s="5">
        <v>2199966</v>
      </c>
      <c r="I4" s="5">
        <v>2199966</v>
      </c>
      <c r="J4" s="5">
        <v>2199966</v>
      </c>
      <c r="K4" s="5">
        <v>2543429</v>
      </c>
      <c r="L4" s="5">
        <v>2543429</v>
      </c>
      <c r="M4" s="16">
        <v>2749508</v>
      </c>
      <c r="N4" s="5">
        <f>M4-L4</f>
        <v>206079</v>
      </c>
      <c r="O4" s="4" t="s">
        <v>205</v>
      </c>
    </row>
    <row r="5" spans="1:15" x14ac:dyDescent="0.3">
      <c r="A5" s="4">
        <v>4030</v>
      </c>
      <c r="B5" s="2" t="s">
        <v>5</v>
      </c>
      <c r="C5" s="5">
        <v>13000</v>
      </c>
      <c r="D5" s="5">
        <f t="shared" ref="D5:D6" si="0">C5</f>
        <v>13000</v>
      </c>
      <c r="E5" s="5">
        <v>24800</v>
      </c>
      <c r="F5" s="5">
        <v>26000</v>
      </c>
      <c r="G5" s="5">
        <v>26200</v>
      </c>
      <c r="H5" s="5">
        <v>26200</v>
      </c>
      <c r="I5" s="5">
        <v>20000</v>
      </c>
      <c r="J5" s="5">
        <v>20000</v>
      </c>
      <c r="K5" s="5">
        <v>5000</v>
      </c>
      <c r="L5" s="5">
        <v>5000</v>
      </c>
      <c r="M5" s="16">
        <v>3000</v>
      </c>
      <c r="N5" s="5">
        <f t="shared" ref="N5:N71" si="1">M5-L5</f>
        <v>-2000</v>
      </c>
      <c r="O5" s="4" t="s">
        <v>285</v>
      </c>
    </row>
    <row r="6" spans="1:15" x14ac:dyDescent="0.3">
      <c r="A6" s="15">
        <v>4040</v>
      </c>
      <c r="B6" s="2" t="s">
        <v>6</v>
      </c>
      <c r="C6" s="5">
        <v>0</v>
      </c>
      <c r="D6" s="5">
        <f t="shared" si="0"/>
        <v>0</v>
      </c>
      <c r="E6" s="5">
        <v>1200</v>
      </c>
      <c r="F6" s="5">
        <v>0</v>
      </c>
      <c r="G6" s="5">
        <v>0</v>
      </c>
      <c r="H6" s="5">
        <v>0</v>
      </c>
      <c r="I6" s="5">
        <v>0</v>
      </c>
      <c r="J6" s="5">
        <v>0</v>
      </c>
      <c r="K6" s="5">
        <v>0</v>
      </c>
      <c r="L6" s="5">
        <v>0</v>
      </c>
      <c r="M6" s="16">
        <v>0</v>
      </c>
      <c r="N6" s="5">
        <f t="shared" si="1"/>
        <v>0</v>
      </c>
      <c r="O6" s="4" t="s">
        <v>176</v>
      </c>
    </row>
    <row r="7" spans="1:15" ht="20.399999999999999" x14ac:dyDescent="0.3">
      <c r="A7" s="15">
        <v>4041</v>
      </c>
      <c r="B7" s="2" t="s">
        <v>166</v>
      </c>
      <c r="C7" s="5">
        <v>35000</v>
      </c>
      <c r="D7" s="5">
        <f>C7</f>
        <v>35000</v>
      </c>
      <c r="E7" s="5">
        <v>35000</v>
      </c>
      <c r="F7" s="5">
        <v>35000</v>
      </c>
      <c r="G7" s="5">
        <v>43000</v>
      </c>
      <c r="H7" s="5">
        <v>43000</v>
      </c>
      <c r="I7" s="5">
        <v>40529</v>
      </c>
      <c r="J7" s="5">
        <v>42329</v>
      </c>
      <c r="K7" s="5">
        <v>39480</v>
      </c>
      <c r="L7" s="5">
        <v>39480</v>
      </c>
      <c r="M7" s="16">
        <v>39000</v>
      </c>
      <c r="N7" s="5">
        <f t="shared" si="1"/>
        <v>-480</v>
      </c>
      <c r="O7" s="4" t="s">
        <v>286</v>
      </c>
    </row>
    <row r="8" spans="1:15" x14ac:dyDescent="0.3">
      <c r="A8" s="15">
        <v>4042</v>
      </c>
      <c r="B8" s="2" t="s">
        <v>167</v>
      </c>
      <c r="E8" s="5">
        <v>8500</v>
      </c>
      <c r="F8" s="5">
        <v>8500</v>
      </c>
      <c r="G8" s="5">
        <v>14700</v>
      </c>
      <c r="H8" s="5">
        <v>0</v>
      </c>
      <c r="I8" s="5">
        <v>0</v>
      </c>
      <c r="J8" s="5">
        <v>0</v>
      </c>
      <c r="K8" s="5">
        <v>0</v>
      </c>
      <c r="L8" s="5">
        <v>0</v>
      </c>
      <c r="M8" s="16">
        <v>0</v>
      </c>
      <c r="N8" s="5">
        <f t="shared" si="1"/>
        <v>0</v>
      </c>
      <c r="O8" s="4" t="s">
        <v>189</v>
      </c>
    </row>
    <row r="9" spans="1:15" ht="30" x14ac:dyDescent="0.3">
      <c r="A9" s="4">
        <v>4050</v>
      </c>
      <c r="B9" s="2" t="s">
        <v>7</v>
      </c>
      <c r="C9" s="5">
        <f>993323.32-30000-12000-3900-4000-250-2500-12000-16000</f>
        <v>912673.32</v>
      </c>
      <c r="D9" s="5">
        <v>1013190.3</v>
      </c>
      <c r="E9" s="5">
        <f>D9-60000-5000-560-6000</f>
        <v>941630.3</v>
      </c>
      <c r="F9" s="5">
        <v>956824.09</v>
      </c>
      <c r="G9" s="5">
        <v>830037</v>
      </c>
      <c r="H9" s="5">
        <v>956824.06</v>
      </c>
      <c r="I9" s="5">
        <v>850639</v>
      </c>
      <c r="J9" s="5">
        <v>889596.29</v>
      </c>
      <c r="K9" s="5">
        <v>797916.29</v>
      </c>
      <c r="L9" s="5">
        <v>827987.49</v>
      </c>
      <c r="M9" s="16">
        <v>741987.49</v>
      </c>
      <c r="N9" s="5">
        <f t="shared" si="1"/>
        <v>-86000</v>
      </c>
      <c r="O9" s="4" t="s">
        <v>250</v>
      </c>
    </row>
    <row r="10" spans="1:15" ht="20.399999999999999" x14ac:dyDescent="0.3">
      <c r="A10" s="4">
        <v>4055</v>
      </c>
      <c r="B10" s="2" t="s">
        <v>247</v>
      </c>
      <c r="L10" s="5">
        <v>5423700</v>
      </c>
      <c r="M10" s="16">
        <v>5423700</v>
      </c>
      <c r="N10" s="5">
        <f t="shared" si="1"/>
        <v>0</v>
      </c>
      <c r="O10" s="4" t="s">
        <v>281</v>
      </c>
    </row>
    <row r="11" spans="1:15" ht="20.399999999999999" x14ac:dyDescent="0.3">
      <c r="A11" s="4">
        <v>4060</v>
      </c>
      <c r="B11" s="2" t="s">
        <v>168</v>
      </c>
      <c r="M11" s="16"/>
      <c r="N11" s="5">
        <f t="shared" si="1"/>
        <v>0</v>
      </c>
    </row>
    <row r="12" spans="1:15" x14ac:dyDescent="0.3">
      <c r="A12" s="4">
        <v>4120</v>
      </c>
      <c r="B12" s="2" t="s">
        <v>8</v>
      </c>
      <c r="C12" s="5">
        <v>389392</v>
      </c>
      <c r="D12" s="5">
        <f>C12</f>
        <v>389392</v>
      </c>
      <c r="E12" s="5">
        <v>393290</v>
      </c>
      <c r="F12" s="5">
        <v>393290</v>
      </c>
      <c r="G12" s="5">
        <v>397235</v>
      </c>
      <c r="H12" s="5">
        <f>397235-15456</f>
        <v>381779</v>
      </c>
      <c r="I12" s="5">
        <v>393290</v>
      </c>
      <c r="J12" s="5">
        <v>393290</v>
      </c>
      <c r="K12" s="5">
        <v>397826</v>
      </c>
      <c r="L12" s="5">
        <v>397826</v>
      </c>
      <c r="M12" s="16">
        <v>385435</v>
      </c>
      <c r="N12" s="5">
        <f t="shared" si="1"/>
        <v>-12391</v>
      </c>
      <c r="O12" s="11" t="s">
        <v>228</v>
      </c>
    </row>
    <row r="13" spans="1:15" x14ac:dyDescent="0.3">
      <c r="A13" s="4">
        <v>4130</v>
      </c>
      <c r="B13" s="2" t="s">
        <v>9</v>
      </c>
      <c r="C13" s="5">
        <v>12000</v>
      </c>
      <c r="D13" s="5">
        <f t="shared" ref="D13:D19" si="2">C13</f>
        <v>12000</v>
      </c>
      <c r="E13" s="5">
        <v>12000</v>
      </c>
      <c r="F13" s="5">
        <v>12000</v>
      </c>
      <c r="G13" s="5">
        <v>12000</v>
      </c>
      <c r="H13" s="5">
        <f>12000-6000</f>
        <v>6000</v>
      </c>
      <c r="I13" s="5">
        <v>11000</v>
      </c>
      <c r="J13" s="5">
        <v>11000</v>
      </c>
      <c r="K13" s="5">
        <v>10000</v>
      </c>
      <c r="L13" s="5">
        <v>10000</v>
      </c>
      <c r="M13" s="16">
        <v>9500</v>
      </c>
      <c r="N13" s="5">
        <f t="shared" si="1"/>
        <v>-500</v>
      </c>
    </row>
    <row r="14" spans="1:15" ht="20.399999999999999" x14ac:dyDescent="0.3">
      <c r="A14" s="4">
        <v>4150</v>
      </c>
      <c r="B14" s="6" t="s">
        <v>10</v>
      </c>
      <c r="C14" s="5">
        <v>5500</v>
      </c>
      <c r="D14" s="5">
        <f t="shared" si="2"/>
        <v>5500</v>
      </c>
      <c r="E14" s="5">
        <v>7500</v>
      </c>
      <c r="F14" s="5">
        <v>7500</v>
      </c>
      <c r="G14" s="5">
        <v>7500</v>
      </c>
      <c r="H14" s="5">
        <v>8178.99</v>
      </c>
      <c r="I14" s="5">
        <v>8000</v>
      </c>
      <c r="J14" s="5">
        <v>8000</v>
      </c>
      <c r="K14" s="5">
        <v>10500</v>
      </c>
      <c r="L14" s="5">
        <v>10500</v>
      </c>
      <c r="M14" s="16">
        <v>15000</v>
      </c>
      <c r="N14" s="5">
        <f t="shared" si="1"/>
        <v>4500</v>
      </c>
    </row>
    <row r="15" spans="1:15" ht="20.399999999999999" x14ac:dyDescent="0.3">
      <c r="A15" s="4">
        <v>4170</v>
      </c>
      <c r="B15" s="2" t="s">
        <v>11</v>
      </c>
      <c r="C15" s="5">
        <v>1220557</v>
      </c>
      <c r="D15" s="5">
        <f t="shared" si="2"/>
        <v>1220557</v>
      </c>
      <c r="E15" s="5">
        <f>1223597+4422</f>
        <v>1228019</v>
      </c>
      <c r="F15" s="5">
        <f>1223597+4422</f>
        <v>1228019</v>
      </c>
      <c r="G15" s="5">
        <f>1238791-4444</f>
        <v>1234347</v>
      </c>
      <c r="H15" s="5">
        <f>1238791-4444-40341</f>
        <v>1194006</v>
      </c>
      <c r="I15" s="5">
        <v>1227635</v>
      </c>
      <c r="J15" s="5">
        <v>1227635</v>
      </c>
      <c r="K15" s="5">
        <v>1088761</v>
      </c>
      <c r="L15" s="5">
        <v>1088761</v>
      </c>
      <c r="M15" s="16">
        <v>1097865</v>
      </c>
      <c r="N15" s="5">
        <f t="shared" si="1"/>
        <v>9104</v>
      </c>
      <c r="O15" s="11" t="s">
        <v>287</v>
      </c>
    </row>
    <row r="16" spans="1:15" ht="20.399999999999999" x14ac:dyDescent="0.3">
      <c r="A16" s="4">
        <v>4180</v>
      </c>
      <c r="B16" s="2" t="s">
        <v>12</v>
      </c>
      <c r="C16" s="5">
        <v>20000</v>
      </c>
      <c r="D16" s="5">
        <f t="shared" si="2"/>
        <v>20000</v>
      </c>
      <c r="E16" s="5">
        <v>20000</v>
      </c>
      <c r="F16" s="5">
        <v>20000</v>
      </c>
      <c r="G16" s="5">
        <v>20000</v>
      </c>
      <c r="H16" s="5">
        <v>20000</v>
      </c>
      <c r="I16" s="5">
        <v>12000</v>
      </c>
      <c r="J16" s="5">
        <v>12000</v>
      </c>
      <c r="K16" s="5">
        <v>10000</v>
      </c>
      <c r="L16" s="5">
        <v>10000</v>
      </c>
      <c r="M16" s="16">
        <v>5000</v>
      </c>
      <c r="N16" s="5">
        <f t="shared" si="1"/>
        <v>-5000</v>
      </c>
    </row>
    <row r="17" spans="1:15" x14ac:dyDescent="0.3">
      <c r="A17" s="4">
        <v>4220</v>
      </c>
      <c r="B17" s="2" t="s">
        <v>13</v>
      </c>
      <c r="C17" s="5">
        <v>26341.75</v>
      </c>
      <c r="D17" s="5">
        <f t="shared" si="2"/>
        <v>26341.75</v>
      </c>
      <c r="E17" s="5">
        <v>27395.42</v>
      </c>
      <c r="F17" s="5">
        <v>27395.42</v>
      </c>
      <c r="G17" s="5">
        <v>28491.24</v>
      </c>
      <c r="H17" s="5">
        <v>18520.5</v>
      </c>
      <c r="I17" s="5">
        <f>29630.89-2398.14-4235</f>
        <v>22997.75</v>
      </c>
      <c r="J17" s="5">
        <f>29630.89-2398.14-4235</f>
        <v>22997.75</v>
      </c>
      <c r="K17" s="5">
        <v>23607.65</v>
      </c>
      <c r="L17" s="5">
        <v>23607.65</v>
      </c>
      <c r="M17" s="16">
        <v>10097.39</v>
      </c>
      <c r="N17" s="5">
        <f t="shared" si="1"/>
        <v>-13510.260000000002</v>
      </c>
      <c r="O17" s="11" t="s">
        <v>211</v>
      </c>
    </row>
    <row r="18" spans="1:15" ht="30" x14ac:dyDescent="0.3">
      <c r="A18" s="4">
        <v>4241</v>
      </c>
      <c r="B18" s="2" t="s">
        <v>165</v>
      </c>
      <c r="C18" s="5">
        <v>126381.52</v>
      </c>
      <c r="D18" s="5">
        <f t="shared" si="2"/>
        <v>126381.52</v>
      </c>
      <c r="E18" s="5">
        <v>118602.6</v>
      </c>
      <c r="F18" s="5">
        <v>118602.6</v>
      </c>
      <c r="G18" s="5">
        <v>131549</v>
      </c>
      <c r="H18" s="5">
        <v>131549</v>
      </c>
      <c r="I18" s="5">
        <v>28325</v>
      </c>
      <c r="J18" s="5">
        <v>28325</v>
      </c>
      <c r="K18" s="5">
        <v>28370</v>
      </c>
      <c r="L18" s="5">
        <v>28370</v>
      </c>
      <c r="M18" s="16">
        <v>29664</v>
      </c>
      <c r="N18" s="5">
        <f t="shared" si="1"/>
        <v>1294</v>
      </c>
      <c r="O18" s="4" t="s">
        <v>270</v>
      </c>
    </row>
    <row r="19" spans="1:15" ht="87.6" x14ac:dyDescent="0.3">
      <c r="A19" s="4">
        <v>4242</v>
      </c>
      <c r="B19" s="2" t="s">
        <v>14</v>
      </c>
      <c r="C19" s="5">
        <v>2164217</v>
      </c>
      <c r="D19" s="5">
        <f t="shared" si="2"/>
        <v>2164217</v>
      </c>
      <c r="E19" s="5">
        <f>1128093+1266080-244356+2240</f>
        <v>2152057</v>
      </c>
      <c r="F19" s="5">
        <f>1128093+1266080-244356+2240</f>
        <v>2152057</v>
      </c>
      <c r="G19" s="5">
        <v>2155791.6</v>
      </c>
      <c r="H19" s="5">
        <v>2155791.6</v>
      </c>
      <c r="I19" s="5">
        <v>2203936</v>
      </c>
      <c r="J19" s="5">
        <v>2203936</v>
      </c>
      <c r="K19" s="5">
        <f>6500+1090876+1166036+29305</f>
        <v>2292717</v>
      </c>
      <c r="L19" s="5">
        <f>6500+1090876+1166036+29305</f>
        <v>2292717</v>
      </c>
      <c r="M19" s="16">
        <v>2313022</v>
      </c>
      <c r="N19" s="5">
        <f t="shared" si="1"/>
        <v>20305</v>
      </c>
      <c r="O19" s="4" t="s">
        <v>261</v>
      </c>
    </row>
    <row r="20" spans="1:15" ht="20.399999999999999" x14ac:dyDescent="0.3">
      <c r="A20" s="4">
        <v>4243</v>
      </c>
      <c r="B20" s="2" t="s">
        <v>180</v>
      </c>
      <c r="F20" s="5">
        <v>135000</v>
      </c>
      <c r="K20" s="5">
        <v>0</v>
      </c>
      <c r="L20" s="5">
        <v>0</v>
      </c>
      <c r="M20" s="16"/>
      <c r="N20" s="5">
        <f t="shared" si="1"/>
        <v>0</v>
      </c>
    </row>
    <row r="21" spans="1:15" ht="30" x14ac:dyDescent="0.3">
      <c r="A21" s="4">
        <v>4245</v>
      </c>
      <c r="B21" s="2" t="s">
        <v>15</v>
      </c>
      <c r="C21" s="5">
        <v>560382.94999999995</v>
      </c>
      <c r="D21" s="5">
        <v>685692.95</v>
      </c>
      <c r="E21" s="5">
        <v>704178.95</v>
      </c>
      <c r="F21" s="5">
        <v>818864.08</v>
      </c>
      <c r="G21" s="5">
        <v>826145.08</v>
      </c>
      <c r="H21" s="5">
        <v>585471.03</v>
      </c>
      <c r="I21" s="5">
        <f>585471.03+4996</f>
        <v>590467.03</v>
      </c>
      <c r="J21" s="5">
        <v>694349.61</v>
      </c>
      <c r="K21" s="5">
        <v>707109.61</v>
      </c>
      <c r="L21" s="5">
        <v>805472.95</v>
      </c>
      <c r="M21" s="16">
        <f>805472.95+1898</f>
        <v>807370.95</v>
      </c>
      <c r="N21" s="5">
        <f t="shared" si="1"/>
        <v>1898</v>
      </c>
      <c r="O21" s="4" t="s">
        <v>249</v>
      </c>
    </row>
    <row r="22" spans="1:15" ht="20.399999999999999" x14ac:dyDescent="0.3">
      <c r="A22" s="4">
        <v>4270</v>
      </c>
      <c r="B22" s="2" t="s">
        <v>16</v>
      </c>
      <c r="C22" s="5">
        <f>478650.28-20000</f>
        <v>458650.28</v>
      </c>
      <c r="D22" s="5">
        <v>410162.28</v>
      </c>
      <c r="E22" s="5">
        <v>400162.28</v>
      </c>
      <c r="F22" s="5">
        <v>420962.99</v>
      </c>
      <c r="G22" s="5">
        <v>420962.99</v>
      </c>
      <c r="H22" s="5">
        <v>431974.02</v>
      </c>
      <c r="I22" s="5">
        <v>431974.02</v>
      </c>
      <c r="J22" s="5">
        <v>383824.08</v>
      </c>
      <c r="K22" s="5">
        <v>383824.08</v>
      </c>
      <c r="L22" s="5">
        <v>400881.11</v>
      </c>
      <c r="M22" s="16">
        <v>400881.11</v>
      </c>
      <c r="N22" s="5">
        <f t="shared" si="1"/>
        <v>0</v>
      </c>
    </row>
    <row r="23" spans="1:15" x14ac:dyDescent="0.3">
      <c r="A23" s="4">
        <v>4280</v>
      </c>
      <c r="B23" s="2" t="s">
        <v>17</v>
      </c>
      <c r="C23" s="5">
        <v>0</v>
      </c>
      <c r="E23" s="5">
        <v>0</v>
      </c>
      <c r="F23" s="5">
        <v>0</v>
      </c>
      <c r="G23" s="5">
        <v>0</v>
      </c>
      <c r="H23" s="5">
        <v>0</v>
      </c>
      <c r="I23" s="5">
        <v>0</v>
      </c>
      <c r="K23" s="5">
        <v>0</v>
      </c>
      <c r="L23" s="5">
        <v>0</v>
      </c>
      <c r="M23" s="16">
        <v>0</v>
      </c>
      <c r="N23" s="5">
        <f t="shared" si="1"/>
        <v>0</v>
      </c>
    </row>
    <row r="24" spans="1:15" x14ac:dyDescent="0.3">
      <c r="A24" s="4"/>
      <c r="B24" s="2" t="s">
        <v>18</v>
      </c>
      <c r="M24" s="16"/>
      <c r="N24" s="5">
        <f t="shared" si="1"/>
        <v>0</v>
      </c>
    </row>
    <row r="25" spans="1:15" x14ac:dyDescent="0.3">
      <c r="A25" s="4"/>
      <c r="B25" s="2" t="s">
        <v>19</v>
      </c>
      <c r="M25" s="16"/>
      <c r="N25" s="5">
        <f t="shared" si="1"/>
        <v>0</v>
      </c>
    </row>
    <row r="26" spans="1:15" ht="20.399999999999999" x14ac:dyDescent="0.3">
      <c r="A26" s="4"/>
      <c r="B26" s="2" t="s">
        <v>20</v>
      </c>
      <c r="M26" s="16"/>
      <c r="N26" s="5">
        <f t="shared" si="1"/>
        <v>0</v>
      </c>
    </row>
    <row r="27" spans="1:15" x14ac:dyDescent="0.3">
      <c r="B27" s="2" t="s">
        <v>21</v>
      </c>
      <c r="M27" s="16"/>
      <c r="N27" s="5">
        <f t="shared" si="1"/>
        <v>0</v>
      </c>
    </row>
    <row r="28" spans="1:15" x14ac:dyDescent="0.3">
      <c r="B28" s="2" t="s">
        <v>22</v>
      </c>
      <c r="M28" s="16"/>
      <c r="N28" s="5">
        <f t="shared" si="1"/>
        <v>0</v>
      </c>
    </row>
    <row r="29" spans="1:15" x14ac:dyDescent="0.3">
      <c r="B29" s="2" t="s">
        <v>23</v>
      </c>
      <c r="M29" s="16"/>
      <c r="N29" s="5">
        <f t="shared" si="1"/>
        <v>0</v>
      </c>
    </row>
    <row r="30" spans="1:15" x14ac:dyDescent="0.3">
      <c r="A30" s="14">
        <v>4290</v>
      </c>
      <c r="B30" s="2" t="s">
        <v>24</v>
      </c>
      <c r="C30" s="5">
        <v>9500</v>
      </c>
      <c r="D30" s="5">
        <f>C30</f>
        <v>9500</v>
      </c>
      <c r="E30" s="5">
        <v>13000</v>
      </c>
      <c r="F30" s="5">
        <v>13000</v>
      </c>
      <c r="G30" s="5">
        <v>15000</v>
      </c>
      <c r="H30" s="5">
        <v>15000</v>
      </c>
      <c r="I30" s="5">
        <v>20000</v>
      </c>
      <c r="J30" s="5">
        <v>30000</v>
      </c>
      <c r="K30" s="5">
        <v>30000</v>
      </c>
      <c r="L30" s="5">
        <v>42900</v>
      </c>
      <c r="M30" s="16">
        <v>37800</v>
      </c>
      <c r="N30" s="5">
        <f t="shared" si="1"/>
        <v>-5100</v>
      </c>
      <c r="O30" s="11" t="s">
        <v>229</v>
      </c>
    </row>
    <row r="31" spans="1:15" x14ac:dyDescent="0.3">
      <c r="A31" s="14">
        <v>4405</v>
      </c>
      <c r="B31" s="6" t="s">
        <v>156</v>
      </c>
      <c r="D31" s="5">
        <f t="shared" ref="D31:D38" si="3">C31</f>
        <v>0</v>
      </c>
      <c r="E31" s="5">
        <v>0</v>
      </c>
      <c r="F31" s="5">
        <v>0</v>
      </c>
      <c r="G31" s="5">
        <v>0</v>
      </c>
      <c r="H31" s="5">
        <v>0</v>
      </c>
      <c r="I31" s="5">
        <v>0</v>
      </c>
      <c r="K31" s="5">
        <v>0</v>
      </c>
      <c r="L31" s="5">
        <v>0</v>
      </c>
      <c r="M31" s="16">
        <v>0</v>
      </c>
      <c r="N31" s="5">
        <f t="shared" si="1"/>
        <v>0</v>
      </c>
    </row>
    <row r="32" spans="1:15" x14ac:dyDescent="0.3">
      <c r="A32" s="14">
        <v>9102</v>
      </c>
      <c r="B32" s="2" t="s">
        <v>25</v>
      </c>
      <c r="C32" s="5">
        <v>0</v>
      </c>
      <c r="D32" s="5">
        <f t="shared" si="3"/>
        <v>0</v>
      </c>
      <c r="E32" s="5">
        <v>0</v>
      </c>
      <c r="F32" s="5">
        <v>0</v>
      </c>
      <c r="M32" s="16"/>
      <c r="N32" s="5">
        <f t="shared" si="1"/>
        <v>0</v>
      </c>
    </row>
    <row r="33" spans="1:15" x14ac:dyDescent="0.3">
      <c r="A33" s="14">
        <v>9113</v>
      </c>
      <c r="B33" s="2" t="s">
        <v>26</v>
      </c>
      <c r="C33" s="5">
        <v>75000</v>
      </c>
      <c r="D33" s="5">
        <f t="shared" si="3"/>
        <v>75000</v>
      </c>
      <c r="E33" s="5">
        <v>75000</v>
      </c>
      <c r="F33" s="5">
        <v>75000</v>
      </c>
      <c r="G33" s="5">
        <v>75000</v>
      </c>
      <c r="H33" s="5">
        <v>75000</v>
      </c>
      <c r="I33" s="5">
        <v>75000</v>
      </c>
      <c r="J33" s="5">
        <v>75000</v>
      </c>
      <c r="K33" s="5">
        <v>75000</v>
      </c>
      <c r="L33" s="5">
        <v>75000</v>
      </c>
      <c r="M33" s="16">
        <v>75000</v>
      </c>
      <c r="N33" s="5">
        <f t="shared" si="1"/>
        <v>0</v>
      </c>
    </row>
    <row r="34" spans="1:15" ht="20.399999999999999" x14ac:dyDescent="0.3">
      <c r="B34" s="2" t="s">
        <v>260</v>
      </c>
      <c r="K34" s="5">
        <v>100000</v>
      </c>
      <c r="L34" s="5">
        <v>100000</v>
      </c>
      <c r="M34" s="16">
        <v>100000</v>
      </c>
      <c r="N34" s="5">
        <f t="shared" si="1"/>
        <v>0</v>
      </c>
      <c r="O34" s="4" t="s">
        <v>288</v>
      </c>
    </row>
    <row r="35" spans="1:15" x14ac:dyDescent="0.3">
      <c r="A35" s="14">
        <v>9120</v>
      </c>
      <c r="B35" s="2" t="s">
        <v>27</v>
      </c>
      <c r="C35" s="5">
        <v>0</v>
      </c>
      <c r="D35" s="5">
        <f t="shared" si="3"/>
        <v>0</v>
      </c>
      <c r="E35" s="5">
        <v>0</v>
      </c>
      <c r="F35" s="5">
        <v>0</v>
      </c>
      <c r="M35" s="16"/>
      <c r="N35" s="5">
        <f t="shared" si="1"/>
        <v>0</v>
      </c>
    </row>
    <row r="36" spans="1:15" ht="20.399999999999999" x14ac:dyDescent="0.3">
      <c r="A36" s="14">
        <v>9125</v>
      </c>
      <c r="B36" s="2" t="s">
        <v>157</v>
      </c>
      <c r="D36" s="5">
        <f t="shared" si="3"/>
        <v>0</v>
      </c>
      <c r="E36" s="5">
        <v>0</v>
      </c>
      <c r="F36" s="5">
        <v>0</v>
      </c>
      <c r="M36" s="16"/>
      <c r="N36" s="5">
        <f t="shared" si="1"/>
        <v>0</v>
      </c>
    </row>
    <row r="37" spans="1:15" x14ac:dyDescent="0.3">
      <c r="B37" s="2" t="s">
        <v>169</v>
      </c>
      <c r="D37" s="5">
        <f t="shared" si="3"/>
        <v>0</v>
      </c>
      <c r="E37" s="5">
        <v>0</v>
      </c>
      <c r="F37" s="5">
        <v>0</v>
      </c>
      <c r="M37" s="16"/>
      <c r="N37" s="5">
        <f t="shared" si="1"/>
        <v>0</v>
      </c>
    </row>
    <row r="38" spans="1:15" ht="20.399999999999999" x14ac:dyDescent="0.3">
      <c r="A38" s="4">
        <v>9140</v>
      </c>
      <c r="B38" s="2" t="s">
        <v>28</v>
      </c>
      <c r="C38" s="5">
        <v>0</v>
      </c>
      <c r="D38" s="5">
        <f t="shared" si="3"/>
        <v>0</v>
      </c>
      <c r="E38" s="5">
        <v>0</v>
      </c>
      <c r="F38" s="5">
        <v>0</v>
      </c>
      <c r="M38" s="16"/>
      <c r="N38" s="5">
        <f t="shared" si="1"/>
        <v>0</v>
      </c>
    </row>
    <row r="39" spans="1:15" x14ac:dyDescent="0.3">
      <c r="A39" s="4">
        <v>9145</v>
      </c>
      <c r="B39" s="2" t="s">
        <v>174</v>
      </c>
      <c r="D39" s="5">
        <v>40000</v>
      </c>
      <c r="E39" s="5">
        <v>0</v>
      </c>
      <c r="F39" s="5">
        <v>0</v>
      </c>
      <c r="M39" s="16"/>
      <c r="N39" s="5">
        <f t="shared" si="1"/>
        <v>0</v>
      </c>
    </row>
    <row r="40" spans="1:15" x14ac:dyDescent="0.3">
      <c r="A40" s="4">
        <v>9152</v>
      </c>
      <c r="B40" s="2" t="s">
        <v>194</v>
      </c>
      <c r="J40" s="5">
        <v>5356.09</v>
      </c>
      <c r="M40" s="16"/>
      <c r="N40" s="5">
        <f t="shared" si="1"/>
        <v>0</v>
      </c>
    </row>
    <row r="41" spans="1:15" x14ac:dyDescent="0.3">
      <c r="A41" s="4">
        <v>9156</v>
      </c>
      <c r="B41" s="2" t="s">
        <v>164</v>
      </c>
      <c r="D41" s="5">
        <v>3159</v>
      </c>
      <c r="E41" s="5">
        <v>2004</v>
      </c>
      <c r="F41" s="5">
        <v>2004</v>
      </c>
      <c r="M41" s="16"/>
      <c r="N41" s="5">
        <f t="shared" si="1"/>
        <v>0</v>
      </c>
    </row>
    <row r="42" spans="1:15" x14ac:dyDescent="0.3">
      <c r="A42" s="4">
        <v>9158</v>
      </c>
      <c r="B42" s="2" t="s">
        <v>181</v>
      </c>
      <c r="F42" s="5">
        <v>60000</v>
      </c>
      <c r="M42" s="16"/>
      <c r="N42" s="5">
        <f t="shared" si="1"/>
        <v>0</v>
      </c>
    </row>
    <row r="43" spans="1:15" x14ac:dyDescent="0.3">
      <c r="A43" s="4">
        <v>9160</v>
      </c>
      <c r="B43" s="2" t="s">
        <v>29</v>
      </c>
      <c r="C43" s="5">
        <v>0</v>
      </c>
      <c r="D43" s="5">
        <f>C43</f>
        <v>0</v>
      </c>
      <c r="E43" s="5">
        <v>0</v>
      </c>
      <c r="F43" s="5">
        <v>0</v>
      </c>
      <c r="M43" s="16"/>
      <c r="N43" s="5">
        <f t="shared" si="1"/>
        <v>0</v>
      </c>
    </row>
    <row r="44" spans="1:15" x14ac:dyDescent="0.3">
      <c r="A44" s="4">
        <v>9165</v>
      </c>
      <c r="B44" s="2" t="s">
        <v>182</v>
      </c>
      <c r="F44" s="3">
        <v>399500</v>
      </c>
      <c r="M44" s="16"/>
      <c r="N44" s="5">
        <f t="shared" si="1"/>
        <v>0</v>
      </c>
    </row>
    <row r="45" spans="1:15" ht="20.399999999999999" x14ac:dyDescent="0.3">
      <c r="A45" s="4">
        <v>9170</v>
      </c>
      <c r="B45" s="2" t="s">
        <v>30</v>
      </c>
      <c r="C45" s="5">
        <f>254149+22165</f>
        <v>276314</v>
      </c>
      <c r="D45" s="5">
        <f>C45</f>
        <v>276314</v>
      </c>
      <c r="E45" s="5">
        <v>283288</v>
      </c>
      <c r="F45" s="7">
        <v>283288</v>
      </c>
      <c r="G45" s="5">
        <v>277867</v>
      </c>
      <c r="H45" s="5">
        <v>347110</v>
      </c>
      <c r="I45" s="5">
        <f>294348+5215</f>
        <v>299563</v>
      </c>
      <c r="J45" s="5">
        <v>309873.96999999997</v>
      </c>
      <c r="K45" s="5">
        <v>334831.02</v>
      </c>
      <c r="L45" s="5">
        <v>364022</v>
      </c>
      <c r="M45" s="16">
        <v>342859</v>
      </c>
      <c r="N45" s="5">
        <f t="shared" si="1"/>
        <v>-21163</v>
      </c>
      <c r="O45" s="4" t="s">
        <v>233</v>
      </c>
    </row>
    <row r="46" spans="1:15" x14ac:dyDescent="0.3">
      <c r="A46" s="14">
        <v>9175</v>
      </c>
      <c r="B46" s="2" t="s">
        <v>183</v>
      </c>
      <c r="F46" s="5">
        <v>6700</v>
      </c>
      <c r="H46" s="5">
        <v>6644.21</v>
      </c>
      <c r="M46" s="16"/>
      <c r="N46" s="5">
        <f t="shared" si="1"/>
        <v>0</v>
      </c>
    </row>
    <row r="47" spans="1:15" x14ac:dyDescent="0.3">
      <c r="A47" s="14">
        <v>9195</v>
      </c>
      <c r="B47" s="2" t="s">
        <v>213</v>
      </c>
      <c r="J47" s="5">
        <v>3758</v>
      </c>
      <c r="L47" s="5">
        <v>10143</v>
      </c>
      <c r="M47" s="16">
        <v>8949</v>
      </c>
      <c r="N47" s="5">
        <f t="shared" si="1"/>
        <v>-1194</v>
      </c>
      <c r="O47" s="4" t="s">
        <v>226</v>
      </c>
    </row>
    <row r="48" spans="1:15" x14ac:dyDescent="0.3">
      <c r="A48" s="4">
        <v>9205</v>
      </c>
      <c r="B48" s="2" t="s">
        <v>195</v>
      </c>
      <c r="F48" s="7"/>
      <c r="J48" s="5">
        <v>13175</v>
      </c>
      <c r="M48" s="16"/>
      <c r="N48" s="5">
        <f t="shared" si="1"/>
        <v>0</v>
      </c>
    </row>
    <row r="49" spans="1:14" ht="20.399999999999999" x14ac:dyDescent="0.3">
      <c r="A49" s="4">
        <v>9210</v>
      </c>
      <c r="B49" s="2" t="s">
        <v>196</v>
      </c>
      <c r="F49" s="7"/>
      <c r="J49" s="5">
        <v>2000</v>
      </c>
      <c r="M49" s="16"/>
      <c r="N49" s="5">
        <f t="shared" si="1"/>
        <v>0</v>
      </c>
    </row>
    <row r="50" spans="1:14" x14ac:dyDescent="0.3">
      <c r="A50" s="14">
        <v>9215</v>
      </c>
      <c r="B50" s="2" t="s">
        <v>197</v>
      </c>
      <c r="J50" s="5">
        <v>101227</v>
      </c>
      <c r="M50" s="16"/>
      <c r="N50" s="5">
        <f t="shared" si="1"/>
        <v>0</v>
      </c>
    </row>
    <row r="51" spans="1:14" x14ac:dyDescent="0.3">
      <c r="A51" s="4">
        <v>9220</v>
      </c>
      <c r="B51" s="2" t="s">
        <v>230</v>
      </c>
      <c r="F51" s="7"/>
      <c r="L51" s="5">
        <v>35647</v>
      </c>
      <c r="M51" s="16">
        <v>27018</v>
      </c>
      <c r="N51" s="5">
        <f t="shared" si="1"/>
        <v>-8629</v>
      </c>
    </row>
    <row r="52" spans="1:14" x14ac:dyDescent="0.3">
      <c r="A52" s="4">
        <v>9231</v>
      </c>
      <c r="B52" s="2" t="s">
        <v>264</v>
      </c>
      <c r="F52" s="7"/>
      <c r="L52" s="5">
        <v>155104</v>
      </c>
      <c r="M52" s="16"/>
    </row>
    <row r="53" spans="1:14" x14ac:dyDescent="0.3">
      <c r="A53" s="4">
        <v>9233</v>
      </c>
      <c r="B53" s="2" t="s">
        <v>231</v>
      </c>
      <c r="F53" s="7"/>
      <c r="L53" s="5">
        <v>10000</v>
      </c>
      <c r="M53" s="16"/>
    </row>
    <row r="54" spans="1:14" x14ac:dyDescent="0.3">
      <c r="A54" s="4">
        <v>9236</v>
      </c>
      <c r="B54" s="2" t="s">
        <v>265</v>
      </c>
      <c r="F54" s="7"/>
      <c r="L54" s="5">
        <v>81171</v>
      </c>
      <c r="M54" s="16"/>
    </row>
    <row r="55" spans="1:14" x14ac:dyDescent="0.3">
      <c r="A55" s="4"/>
      <c r="M55" s="16"/>
      <c r="N55" s="5">
        <f t="shared" si="1"/>
        <v>0</v>
      </c>
    </row>
    <row r="56" spans="1:14" x14ac:dyDescent="0.3">
      <c r="M56" s="16">
        <v>25000</v>
      </c>
      <c r="N56" s="5">
        <f t="shared" si="1"/>
        <v>25000</v>
      </c>
    </row>
    <row r="57" spans="1:14" x14ac:dyDescent="0.3">
      <c r="M57" s="16"/>
      <c r="N57" s="5">
        <f t="shared" si="1"/>
        <v>0</v>
      </c>
    </row>
    <row r="58" spans="1:14" x14ac:dyDescent="0.3">
      <c r="M58" s="16"/>
      <c r="N58" s="5">
        <f t="shared" si="1"/>
        <v>0</v>
      </c>
    </row>
    <row r="59" spans="1:14" x14ac:dyDescent="0.3">
      <c r="A59" s="4"/>
      <c r="M59" s="16"/>
      <c r="N59" s="5">
        <f t="shared" si="1"/>
        <v>0</v>
      </c>
    </row>
    <row r="60" spans="1:14" ht="20.399999999999999" x14ac:dyDescent="0.3">
      <c r="A60" s="4"/>
      <c r="B60" s="6" t="s">
        <v>31</v>
      </c>
      <c r="C60" s="3">
        <f>SUM(C4:C45)-C9-C21-C22-C27-C28</f>
        <v>6504477.2699999996</v>
      </c>
      <c r="D60" s="3">
        <f t="shared" ref="D60:H60" si="4">SUM(D4:D45)-D9-D21-D22-D27-D28</f>
        <v>6547636.2700000005</v>
      </c>
      <c r="E60" s="3">
        <f t="shared" si="4"/>
        <v>6601622.0200000005</v>
      </c>
      <c r="F60" s="3">
        <f t="shared" si="4"/>
        <v>7196122.0199999996</v>
      </c>
      <c r="G60" s="3">
        <f t="shared" si="4"/>
        <v>6638646.8399999999</v>
      </c>
      <c r="H60" s="3">
        <f t="shared" si="4"/>
        <v>6622101.0899999999</v>
      </c>
      <c r="I60" s="5">
        <f>SUM(I4:I55)-I9-I21-I22-I27-I28</f>
        <v>6562241.75</v>
      </c>
      <c r="J60" s="5">
        <f>SUM(J4:J55)-J9-J21-J22-J27-J28</f>
        <v>6709868.8100000005</v>
      </c>
      <c r="K60" s="5">
        <f>SUM(K4:K55)-K9-K21-K22</f>
        <v>6989521.6699999999</v>
      </c>
      <c r="L60" s="5">
        <f>SUM(L4:L55)-L9-L10-L21-L22</f>
        <v>7323677.6499999985</v>
      </c>
      <c r="M60" s="16">
        <f>SUM(M4:M56)-M9-M10-M21-M22</f>
        <v>7273717.3899999987</v>
      </c>
      <c r="N60" s="5">
        <f t="shared" si="1"/>
        <v>-49960.259999999776</v>
      </c>
    </row>
    <row r="61" spans="1:14" x14ac:dyDescent="0.3">
      <c r="B61" s="2" t="s">
        <v>32</v>
      </c>
      <c r="C61" s="7">
        <f>C9+C21+C22</f>
        <v>1931706.55</v>
      </c>
      <c r="D61" s="7">
        <f t="shared" ref="D61:H61" si="5">D9+D21+D22</f>
        <v>2109045.5300000003</v>
      </c>
      <c r="E61" s="7">
        <f t="shared" si="5"/>
        <v>2045971.53</v>
      </c>
      <c r="F61" s="7">
        <f t="shared" si="5"/>
        <v>2196651.16</v>
      </c>
      <c r="G61" s="7">
        <f t="shared" si="5"/>
        <v>2077145.07</v>
      </c>
      <c r="H61" s="7">
        <f t="shared" si="5"/>
        <v>1974269.11</v>
      </c>
      <c r="I61" s="7">
        <f>I9+I21+I22</f>
        <v>1873080.05</v>
      </c>
      <c r="J61" s="7">
        <f>J9+J21+J22</f>
        <v>1967769.98</v>
      </c>
      <c r="K61" s="7">
        <f>K9+K21+K22</f>
        <v>1888849.98</v>
      </c>
      <c r="L61" s="7">
        <f>L9+L10+L21+L22</f>
        <v>7458041.5500000007</v>
      </c>
      <c r="M61" s="17">
        <f>M9+M10+M21+M22</f>
        <v>7373939.5500000007</v>
      </c>
      <c r="N61" s="5">
        <f t="shared" si="1"/>
        <v>-84102</v>
      </c>
    </row>
    <row r="62" spans="1:14" x14ac:dyDescent="0.3">
      <c r="B62" s="2" t="s">
        <v>33</v>
      </c>
      <c r="C62" s="8">
        <f t="shared" ref="C62:G62" si="6">SUM(C60:C61)</f>
        <v>8436183.8200000003</v>
      </c>
      <c r="D62" s="8">
        <f t="shared" si="6"/>
        <v>8656681.8000000007</v>
      </c>
      <c r="E62" s="8">
        <f t="shared" si="6"/>
        <v>8647593.5500000007</v>
      </c>
      <c r="F62" s="8">
        <f t="shared" ref="F62" si="7">SUM(F60:F61)</f>
        <v>9392773.1799999997</v>
      </c>
      <c r="G62" s="8">
        <f t="shared" si="6"/>
        <v>8715791.9100000001</v>
      </c>
      <c r="H62" s="8">
        <f t="shared" ref="H62" si="8">SUM(H60:H61)</f>
        <v>8596370.1999999993</v>
      </c>
      <c r="I62" s="8">
        <f t="shared" ref="I62:L62" si="9">SUM(I60:I61)</f>
        <v>8435321.8000000007</v>
      </c>
      <c r="J62" s="8">
        <f t="shared" si="9"/>
        <v>8677638.790000001</v>
      </c>
      <c r="K62" s="5">
        <f t="shared" si="9"/>
        <v>8878371.6500000004</v>
      </c>
      <c r="L62" s="5">
        <f t="shared" si="9"/>
        <v>14781719.199999999</v>
      </c>
      <c r="M62" s="16">
        <f>SUM(M60:M61)</f>
        <v>14647656.939999999</v>
      </c>
      <c r="N62" s="5">
        <f t="shared" si="1"/>
        <v>-134062.25999999978</v>
      </c>
    </row>
    <row r="63" spans="1:14" x14ac:dyDescent="0.3">
      <c r="M63" s="16"/>
      <c r="N63" s="5">
        <f t="shared" si="1"/>
        <v>0</v>
      </c>
    </row>
    <row r="64" spans="1:14" x14ac:dyDescent="0.3">
      <c r="B64" s="2" t="s">
        <v>34</v>
      </c>
      <c r="M64" s="16"/>
      <c r="N64" s="5">
        <f t="shared" si="1"/>
        <v>0</v>
      </c>
    </row>
    <row r="65" spans="1:15" x14ac:dyDescent="0.3">
      <c r="M65" s="16"/>
      <c r="N65" s="5">
        <f t="shared" si="1"/>
        <v>0</v>
      </c>
    </row>
    <row r="66" spans="1:15" x14ac:dyDescent="0.3">
      <c r="M66" s="16"/>
      <c r="N66" s="5">
        <f t="shared" si="1"/>
        <v>0</v>
      </c>
    </row>
    <row r="67" spans="1:15" x14ac:dyDescent="0.3">
      <c r="B67" s="2" t="s">
        <v>35</v>
      </c>
      <c r="M67" s="16"/>
      <c r="N67" s="5">
        <f t="shared" si="1"/>
        <v>0</v>
      </c>
    </row>
    <row r="68" spans="1:15" x14ac:dyDescent="0.3">
      <c r="M68" s="16"/>
      <c r="N68" s="5">
        <f t="shared" si="1"/>
        <v>0</v>
      </c>
    </row>
    <row r="69" spans="1:15" x14ac:dyDescent="0.3">
      <c r="A69" s="14">
        <v>5130</v>
      </c>
      <c r="B69" s="2" t="s">
        <v>36</v>
      </c>
      <c r="C69" s="5">
        <v>266184</v>
      </c>
      <c r="D69" s="5">
        <f>C69</f>
        <v>266184</v>
      </c>
      <c r="E69" s="5">
        <v>266184</v>
      </c>
      <c r="F69" s="5">
        <v>266184</v>
      </c>
      <c r="G69" s="5">
        <v>266184</v>
      </c>
      <c r="H69" s="5">
        <v>266184</v>
      </c>
      <c r="I69" s="5">
        <v>266184</v>
      </c>
      <c r="J69" s="5">
        <v>266184</v>
      </c>
      <c r="K69" s="5">
        <f>J69</f>
        <v>266184</v>
      </c>
      <c r="L69" s="5">
        <v>266184</v>
      </c>
      <c r="M69" s="16">
        <v>266184</v>
      </c>
      <c r="N69" s="5">
        <f t="shared" si="1"/>
        <v>0</v>
      </c>
    </row>
    <row r="70" spans="1:15" x14ac:dyDescent="0.3">
      <c r="A70" s="14">
        <v>5230</v>
      </c>
      <c r="B70" s="2" t="s">
        <v>37</v>
      </c>
      <c r="C70" s="5">
        <v>250</v>
      </c>
      <c r="D70" s="5">
        <f t="shared" ref="D70" si="10">C70</f>
        <v>250</v>
      </c>
      <c r="E70" s="5">
        <v>200</v>
      </c>
      <c r="F70" s="5">
        <v>200</v>
      </c>
      <c r="G70" s="5">
        <v>200</v>
      </c>
      <c r="H70" s="5">
        <v>200</v>
      </c>
      <c r="I70" s="5">
        <v>200</v>
      </c>
      <c r="J70" s="5">
        <v>200</v>
      </c>
      <c r="K70" s="5">
        <v>200</v>
      </c>
      <c r="L70" s="5">
        <v>200</v>
      </c>
      <c r="M70" s="16">
        <v>400</v>
      </c>
      <c r="N70" s="5">
        <f t="shared" si="1"/>
        <v>200</v>
      </c>
    </row>
    <row r="71" spans="1:15" x14ac:dyDescent="0.3">
      <c r="A71" s="4">
        <v>5310</v>
      </c>
      <c r="B71" s="2" t="s">
        <v>38</v>
      </c>
      <c r="C71" s="3">
        <f>SUM(C72:C76)</f>
        <v>28542.39</v>
      </c>
      <c r="D71" s="3">
        <f>SUM(D72:D76)</f>
        <v>28542.39</v>
      </c>
      <c r="E71" s="3">
        <f>SUM(E72:E76)</f>
        <v>29757</v>
      </c>
      <c r="F71" s="5">
        <f>SUM(F72:F76)</f>
        <v>29757</v>
      </c>
      <c r="G71" s="3">
        <f>SUM(G72:G76)</f>
        <v>28490.17</v>
      </c>
      <c r="H71" s="3">
        <f t="shared" ref="H71" si="11">SUM(H72:H76)</f>
        <v>28490.17</v>
      </c>
      <c r="I71" s="3">
        <f>SUM(I72:I76)</f>
        <v>28490.149999999998</v>
      </c>
      <c r="J71" s="3">
        <f>SUM(J72:J76)</f>
        <v>28490.149999999998</v>
      </c>
      <c r="K71" s="3">
        <f>SUM(K72:K76)</f>
        <v>29038.959999999999</v>
      </c>
      <c r="L71" s="3">
        <f>SUM(L72:L76)</f>
        <v>29038.959999999999</v>
      </c>
      <c r="M71" s="18">
        <f>SUM(M72:M76)</f>
        <v>29719.66</v>
      </c>
      <c r="N71" s="5">
        <f t="shared" si="1"/>
        <v>680.70000000000073</v>
      </c>
    </row>
    <row r="72" spans="1:15" ht="30" x14ac:dyDescent="0.3">
      <c r="A72" s="4"/>
      <c r="B72" s="2" t="s">
        <v>39</v>
      </c>
      <c r="C72" s="5">
        <v>25492.39</v>
      </c>
      <c r="D72" s="5">
        <f>C72</f>
        <v>25492.39</v>
      </c>
      <c r="E72" s="5">
        <v>25294</v>
      </c>
      <c r="F72" s="5">
        <v>25294</v>
      </c>
      <c r="G72" s="5">
        <v>26242.46</v>
      </c>
      <c r="H72" s="5">
        <v>26242.46</v>
      </c>
      <c r="I72" s="5">
        <v>26242.44</v>
      </c>
      <c r="J72" s="5">
        <v>26242.44</v>
      </c>
      <c r="K72" s="5">
        <v>26767.29</v>
      </c>
      <c r="L72" s="5">
        <v>26767.29</v>
      </c>
      <c r="M72" s="16">
        <v>27771.06</v>
      </c>
      <c r="N72" s="5">
        <f t="shared" ref="N72:N135" si="12">M72-L72</f>
        <v>1003.7700000000004</v>
      </c>
      <c r="O72" s="4" t="s">
        <v>267</v>
      </c>
    </row>
    <row r="73" spans="1:15" x14ac:dyDescent="0.3">
      <c r="A73" s="4"/>
      <c r="B73" s="2" t="s">
        <v>177</v>
      </c>
      <c r="D73" s="5">
        <f t="shared" ref="D73:D83" si="13">C73</f>
        <v>0</v>
      </c>
      <c r="E73" s="5">
        <v>1413</v>
      </c>
      <c r="F73" s="7">
        <v>1413</v>
      </c>
      <c r="G73" s="5">
        <v>1197.71</v>
      </c>
      <c r="H73" s="5">
        <v>1197.71</v>
      </c>
      <c r="I73" s="5">
        <v>1197.71</v>
      </c>
      <c r="J73" s="5">
        <v>1197.71</v>
      </c>
      <c r="K73" s="5">
        <v>1221.67</v>
      </c>
      <c r="L73" s="5">
        <v>1221.67</v>
      </c>
      <c r="M73" s="16">
        <v>1273.5999999999999</v>
      </c>
      <c r="N73" s="5">
        <f t="shared" si="12"/>
        <v>51.929999999999836</v>
      </c>
      <c r="O73" s="11" t="s">
        <v>234</v>
      </c>
    </row>
    <row r="74" spans="1:15" x14ac:dyDescent="0.3">
      <c r="A74" s="4"/>
      <c r="B74" s="2" t="s">
        <v>40</v>
      </c>
      <c r="C74" s="5">
        <v>0</v>
      </c>
      <c r="D74" s="5">
        <f t="shared" si="13"/>
        <v>0</v>
      </c>
      <c r="E74" s="5">
        <v>0</v>
      </c>
      <c r="F74" s="5">
        <v>0</v>
      </c>
      <c r="G74" s="5">
        <v>0</v>
      </c>
      <c r="H74" s="5">
        <v>0</v>
      </c>
      <c r="K74" s="5">
        <v>0</v>
      </c>
      <c r="L74" s="5">
        <v>0</v>
      </c>
      <c r="M74" s="16">
        <v>0</v>
      </c>
      <c r="N74" s="5">
        <f t="shared" si="12"/>
        <v>0</v>
      </c>
      <c r="O74" s="4" t="s">
        <v>155</v>
      </c>
    </row>
    <row r="75" spans="1:15" ht="20.399999999999999" x14ac:dyDescent="0.3">
      <c r="B75" s="2" t="s">
        <v>41</v>
      </c>
      <c r="C75" s="5">
        <v>250</v>
      </c>
      <c r="D75" s="5">
        <f>C75</f>
        <v>250</v>
      </c>
      <c r="E75" s="5">
        <v>250</v>
      </c>
      <c r="F75" s="5">
        <v>250</v>
      </c>
      <c r="G75" s="5">
        <v>250</v>
      </c>
      <c r="H75" s="5">
        <v>250</v>
      </c>
      <c r="I75" s="5">
        <v>250</v>
      </c>
      <c r="J75" s="5">
        <v>250</v>
      </c>
      <c r="K75" s="5">
        <v>250</v>
      </c>
      <c r="L75" s="5">
        <v>250</v>
      </c>
      <c r="M75" s="16">
        <v>75</v>
      </c>
      <c r="N75" s="5">
        <f t="shared" si="12"/>
        <v>-175</v>
      </c>
      <c r="O75" s="4" t="s">
        <v>269</v>
      </c>
    </row>
    <row r="76" spans="1:15" x14ac:dyDescent="0.3">
      <c r="A76" s="4"/>
      <c r="B76" s="2" t="s">
        <v>283</v>
      </c>
      <c r="C76" s="5">
        <v>2800</v>
      </c>
      <c r="D76" s="5">
        <f t="shared" si="13"/>
        <v>2800</v>
      </c>
      <c r="E76" s="5">
        <v>2800</v>
      </c>
      <c r="F76" s="5">
        <v>2800</v>
      </c>
      <c r="G76" s="5">
        <v>800</v>
      </c>
      <c r="H76" s="5">
        <v>800</v>
      </c>
      <c r="I76" s="5">
        <v>800</v>
      </c>
      <c r="J76" s="5">
        <v>800</v>
      </c>
      <c r="K76" s="5">
        <v>800</v>
      </c>
      <c r="L76" s="5">
        <v>800</v>
      </c>
      <c r="M76" s="16">
        <v>600</v>
      </c>
      <c r="N76" s="5">
        <f t="shared" si="12"/>
        <v>-200</v>
      </c>
      <c r="O76" s="4" t="s">
        <v>232</v>
      </c>
    </row>
    <row r="77" spans="1:15" ht="20.399999999999999" x14ac:dyDescent="0.3">
      <c r="A77" s="14">
        <v>5320</v>
      </c>
      <c r="B77" s="2" t="s">
        <v>42</v>
      </c>
      <c r="C77" s="7">
        <f>SUM(C78:C83)</f>
        <v>45642.29</v>
      </c>
      <c r="D77" s="7">
        <f>SUM(D78:D83)</f>
        <v>45642.29</v>
      </c>
      <c r="E77" s="7">
        <f>SUM(E78:E83)</f>
        <v>43823</v>
      </c>
      <c r="F77" s="5">
        <f>SUM(F78:F83)</f>
        <v>43823</v>
      </c>
      <c r="G77" s="7">
        <f>SUM(G78:G83)</f>
        <v>44808</v>
      </c>
      <c r="H77" s="7">
        <f t="shared" ref="H77" si="14">SUM(H78:H83)</f>
        <v>44808</v>
      </c>
      <c r="I77" s="7">
        <f>SUM(I78:I83)</f>
        <v>45058</v>
      </c>
      <c r="J77" s="7">
        <f t="shared" ref="J77" si="15">SUM(J78:J83)</f>
        <v>45058</v>
      </c>
      <c r="K77" s="7">
        <f>SUM(K78:K83)</f>
        <v>46234.14</v>
      </c>
      <c r="L77" s="7">
        <f>SUM(L78:L83)</f>
        <v>46234.14</v>
      </c>
      <c r="M77" s="17">
        <f>SUM(M78:M83)</f>
        <v>47571.19</v>
      </c>
      <c r="N77" s="5">
        <f t="shared" si="12"/>
        <v>1337.0500000000029</v>
      </c>
    </row>
    <row r="78" spans="1:15" ht="20.399999999999999" x14ac:dyDescent="0.3">
      <c r="B78" s="2" t="s">
        <v>235</v>
      </c>
      <c r="C78" s="5">
        <v>25322</v>
      </c>
      <c r="D78" s="5">
        <f t="shared" si="13"/>
        <v>25322</v>
      </c>
      <c r="E78" s="5">
        <v>26272</v>
      </c>
      <c r="F78" s="5">
        <v>26272</v>
      </c>
      <c r="G78" s="5">
        <v>27257</v>
      </c>
      <c r="H78" s="5">
        <v>27257</v>
      </c>
      <c r="I78" s="5">
        <v>27257</v>
      </c>
      <c r="J78" s="5">
        <v>27257</v>
      </c>
      <c r="K78" s="5">
        <v>27802.14</v>
      </c>
      <c r="L78" s="5">
        <v>27802.14</v>
      </c>
      <c r="M78" s="16">
        <v>28497.19</v>
      </c>
      <c r="N78" s="5">
        <f t="shared" si="12"/>
        <v>695.04999999999927</v>
      </c>
      <c r="O78" s="4" t="s">
        <v>266</v>
      </c>
    </row>
    <row r="79" spans="1:15" x14ac:dyDescent="0.3">
      <c r="A79" s="4"/>
      <c r="B79" s="2" t="s">
        <v>43</v>
      </c>
      <c r="C79" s="5">
        <v>8493</v>
      </c>
      <c r="D79" s="5">
        <f t="shared" si="13"/>
        <v>8493</v>
      </c>
      <c r="E79" s="5">
        <v>5605</v>
      </c>
      <c r="F79" s="5">
        <v>5605</v>
      </c>
      <c r="G79" s="5">
        <v>5605</v>
      </c>
      <c r="H79" s="5">
        <v>5605</v>
      </c>
      <c r="I79" s="5">
        <v>5855</v>
      </c>
      <c r="J79" s="5">
        <v>5855</v>
      </c>
      <c r="K79" s="5">
        <v>6586</v>
      </c>
      <c r="L79" s="5">
        <v>6586</v>
      </c>
      <c r="M79" s="16">
        <v>6953</v>
      </c>
      <c r="N79" s="5">
        <f t="shared" si="12"/>
        <v>367</v>
      </c>
    </row>
    <row r="80" spans="1:15" x14ac:dyDescent="0.3">
      <c r="B80" s="2" t="s">
        <v>44</v>
      </c>
      <c r="C80" s="5">
        <v>0</v>
      </c>
      <c r="D80" s="5">
        <f t="shared" si="13"/>
        <v>0</v>
      </c>
      <c r="G80" s="5">
        <v>0</v>
      </c>
      <c r="H80" s="5">
        <v>0</v>
      </c>
      <c r="K80" s="5">
        <v>0</v>
      </c>
      <c r="L80" s="5">
        <v>0</v>
      </c>
      <c r="M80" s="16"/>
      <c r="N80" s="5">
        <f t="shared" si="12"/>
        <v>0</v>
      </c>
    </row>
    <row r="81" spans="1:15" x14ac:dyDescent="0.3">
      <c r="B81" s="2" t="s">
        <v>45</v>
      </c>
      <c r="C81" s="5">
        <v>10746</v>
      </c>
      <c r="D81" s="5">
        <f t="shared" si="13"/>
        <v>10746</v>
      </c>
      <c r="E81" s="5">
        <v>10746</v>
      </c>
      <c r="F81" s="7">
        <v>10746</v>
      </c>
      <c r="G81" s="5">
        <v>10746</v>
      </c>
      <c r="H81" s="5">
        <v>10746</v>
      </c>
      <c r="I81" s="5">
        <v>10746</v>
      </c>
      <c r="J81" s="5">
        <v>10746</v>
      </c>
      <c r="K81" s="5">
        <v>10746</v>
      </c>
      <c r="L81" s="5">
        <v>10746</v>
      </c>
      <c r="M81" s="16">
        <v>10746</v>
      </c>
      <c r="N81" s="5">
        <f t="shared" si="12"/>
        <v>0</v>
      </c>
    </row>
    <row r="82" spans="1:15" ht="30" x14ac:dyDescent="0.3">
      <c r="B82" s="2" t="s">
        <v>46</v>
      </c>
      <c r="C82" s="5">
        <v>1081.29</v>
      </c>
      <c r="D82" s="5">
        <f t="shared" si="13"/>
        <v>1081.29</v>
      </c>
      <c r="E82" s="5">
        <f>2200/2+100</f>
        <v>1200</v>
      </c>
      <c r="F82" s="5">
        <f>2200/2+100</f>
        <v>1200</v>
      </c>
      <c r="G82" s="5">
        <v>1200</v>
      </c>
      <c r="H82" s="5">
        <v>1200</v>
      </c>
      <c r="I82" s="5">
        <v>1200</v>
      </c>
      <c r="J82" s="5">
        <v>1200</v>
      </c>
      <c r="K82" s="5">
        <v>1100</v>
      </c>
      <c r="L82" s="5">
        <v>1100</v>
      </c>
      <c r="M82" s="16">
        <v>1375</v>
      </c>
      <c r="N82" s="5">
        <f t="shared" si="12"/>
        <v>275</v>
      </c>
      <c r="O82" s="4" t="s">
        <v>238</v>
      </c>
    </row>
    <row r="83" spans="1:15" x14ac:dyDescent="0.3">
      <c r="B83" s="2" t="s">
        <v>47</v>
      </c>
      <c r="C83" s="5">
        <v>0</v>
      </c>
      <c r="D83" s="5">
        <f t="shared" si="13"/>
        <v>0</v>
      </c>
      <c r="E83" s="5">
        <v>0</v>
      </c>
      <c r="F83" s="5">
        <v>0</v>
      </c>
      <c r="G83" s="5">
        <v>0</v>
      </c>
      <c r="H83" s="5">
        <v>0</v>
      </c>
      <c r="I83" s="5">
        <v>0</v>
      </c>
      <c r="J83" s="5">
        <v>0</v>
      </c>
      <c r="K83" s="5">
        <v>0</v>
      </c>
      <c r="L83" s="5">
        <v>0</v>
      </c>
      <c r="M83" s="16">
        <v>0</v>
      </c>
      <c r="N83" s="5">
        <f t="shared" si="12"/>
        <v>0</v>
      </c>
    </row>
    <row r="84" spans="1:15" x14ac:dyDescent="0.3">
      <c r="M84" s="16"/>
      <c r="N84" s="5">
        <f t="shared" si="12"/>
        <v>0</v>
      </c>
    </row>
    <row r="85" spans="1:15" x14ac:dyDescent="0.3">
      <c r="B85" s="2" t="s">
        <v>48</v>
      </c>
      <c r="C85" s="7">
        <f>C69+C70+C71+C77</f>
        <v>340618.68</v>
      </c>
      <c r="D85" s="7">
        <f t="shared" ref="D85:H85" si="16">D69+D70+D71+D77</f>
        <v>340618.68</v>
      </c>
      <c r="E85" s="7">
        <f t="shared" si="16"/>
        <v>339964</v>
      </c>
      <c r="F85" s="7">
        <f t="shared" si="16"/>
        <v>339964</v>
      </c>
      <c r="G85" s="7">
        <f t="shared" si="16"/>
        <v>339682.17</v>
      </c>
      <c r="H85" s="7">
        <f t="shared" si="16"/>
        <v>339682.17</v>
      </c>
      <c r="I85" s="7">
        <f>I69+I70+I71+I77</f>
        <v>339932.15</v>
      </c>
      <c r="J85" s="7">
        <f>J69+J70+J71+J77</f>
        <v>339932.15</v>
      </c>
      <c r="K85" s="7">
        <f>K69+K70+K71+K77</f>
        <v>341657.10000000003</v>
      </c>
      <c r="L85" s="7">
        <f>L69+L70+L71+L77</f>
        <v>341657.10000000003</v>
      </c>
      <c r="M85" s="17">
        <f>M69+M70+M71+M77</f>
        <v>343874.85</v>
      </c>
      <c r="N85" s="5">
        <f t="shared" si="12"/>
        <v>2217.7499999999418</v>
      </c>
    </row>
    <row r="86" spans="1:15" x14ac:dyDescent="0.3">
      <c r="M86" s="16"/>
      <c r="N86" s="5">
        <f t="shared" si="12"/>
        <v>0</v>
      </c>
    </row>
    <row r="87" spans="1:15" x14ac:dyDescent="0.3">
      <c r="B87" s="2" t="s">
        <v>49</v>
      </c>
      <c r="F87" s="7"/>
      <c r="M87" s="16"/>
      <c r="N87" s="5">
        <f t="shared" si="12"/>
        <v>0</v>
      </c>
    </row>
    <row r="88" spans="1:15" x14ac:dyDescent="0.3">
      <c r="M88" s="16"/>
      <c r="N88" s="5">
        <f t="shared" si="12"/>
        <v>0</v>
      </c>
    </row>
    <row r="89" spans="1:15" ht="20.399999999999999" x14ac:dyDescent="0.3">
      <c r="A89" s="14">
        <v>5510</v>
      </c>
      <c r="B89" s="2" t="s">
        <v>50</v>
      </c>
      <c r="C89" s="5">
        <v>17823.11</v>
      </c>
      <c r="D89" s="5">
        <f>C89</f>
        <v>17823.11</v>
      </c>
      <c r="E89" s="5">
        <v>18001.34</v>
      </c>
      <c r="F89" s="5">
        <v>18001.34</v>
      </c>
      <c r="G89" s="5">
        <v>18181.36</v>
      </c>
      <c r="H89" s="5">
        <v>18181.36</v>
      </c>
      <c r="I89" s="5">
        <v>18181.36</v>
      </c>
      <c r="J89" s="5">
        <v>18181.36</v>
      </c>
      <c r="K89" s="5">
        <f>18363.17+181.81</f>
        <v>18544.98</v>
      </c>
      <c r="L89" s="5">
        <f>18363.17+181.81</f>
        <v>18544.98</v>
      </c>
      <c r="M89" s="16">
        <v>20817.25</v>
      </c>
      <c r="N89" s="5">
        <f t="shared" si="12"/>
        <v>2272.2700000000004</v>
      </c>
      <c r="O89" s="4" t="s">
        <v>217</v>
      </c>
    </row>
    <row r="90" spans="1:15" x14ac:dyDescent="0.3">
      <c r="M90" s="16"/>
      <c r="N90" s="5">
        <f t="shared" si="12"/>
        <v>0</v>
      </c>
    </row>
    <row r="91" spans="1:15" x14ac:dyDescent="0.3">
      <c r="B91" s="2" t="s">
        <v>51</v>
      </c>
      <c r="C91" s="9">
        <f t="shared" ref="C91:H91" si="17">SUM(C89:C89)</f>
        <v>17823.11</v>
      </c>
      <c r="D91" s="9">
        <f t="shared" si="17"/>
        <v>17823.11</v>
      </c>
      <c r="E91" s="9">
        <f t="shared" si="17"/>
        <v>18001.34</v>
      </c>
      <c r="F91" s="8">
        <f>SUM(F89:F89)</f>
        <v>18001.34</v>
      </c>
      <c r="G91" s="9">
        <f t="shared" si="17"/>
        <v>18181.36</v>
      </c>
      <c r="H91" s="9">
        <f t="shared" si="17"/>
        <v>18181.36</v>
      </c>
      <c r="I91" s="7">
        <f>SUM(I89:I89)</f>
        <v>18181.36</v>
      </c>
      <c r="J91" s="7">
        <f t="shared" ref="J91:M91" si="18">SUM(J89:J89)</f>
        <v>18181.36</v>
      </c>
      <c r="K91" s="7">
        <f t="shared" si="18"/>
        <v>18544.98</v>
      </c>
      <c r="L91" s="7">
        <f t="shared" si="18"/>
        <v>18544.98</v>
      </c>
      <c r="M91" s="17">
        <f t="shared" si="18"/>
        <v>20817.25</v>
      </c>
      <c r="N91" s="5">
        <f t="shared" si="12"/>
        <v>2272.2700000000004</v>
      </c>
    </row>
    <row r="92" spans="1:15" x14ac:dyDescent="0.3">
      <c r="A92" s="4"/>
      <c r="M92" s="16"/>
      <c r="N92" s="5">
        <f t="shared" si="12"/>
        <v>0</v>
      </c>
    </row>
    <row r="93" spans="1:15" x14ac:dyDescent="0.3">
      <c r="A93" s="4"/>
      <c r="B93" s="2" t="s">
        <v>52</v>
      </c>
      <c r="M93" s="16"/>
      <c r="N93" s="5">
        <f t="shared" si="12"/>
        <v>0</v>
      </c>
    </row>
    <row r="94" spans="1:15" x14ac:dyDescent="0.3">
      <c r="A94" s="4"/>
      <c r="M94" s="16"/>
      <c r="N94" s="5">
        <f t="shared" si="12"/>
        <v>0</v>
      </c>
    </row>
    <row r="95" spans="1:15" x14ac:dyDescent="0.3">
      <c r="A95" s="4">
        <v>5530</v>
      </c>
      <c r="B95" s="2" t="s">
        <v>53</v>
      </c>
      <c r="C95" s="5">
        <v>103270</v>
      </c>
      <c r="D95" s="5">
        <f>C95</f>
        <v>103270</v>
      </c>
      <c r="E95" s="5">
        <v>98511.96</v>
      </c>
      <c r="F95" s="5">
        <v>98511.96</v>
      </c>
      <c r="G95" s="5">
        <v>103149.96</v>
      </c>
      <c r="H95" s="5">
        <v>103149.96</v>
      </c>
      <c r="I95" s="5">
        <v>108110</v>
      </c>
      <c r="J95" s="5">
        <v>108110</v>
      </c>
      <c r="K95" s="5">
        <v>120308</v>
      </c>
      <c r="L95" s="5">
        <v>120308</v>
      </c>
      <c r="M95" s="16">
        <v>124946</v>
      </c>
      <c r="N95" s="5">
        <f t="shared" si="12"/>
        <v>4638</v>
      </c>
    </row>
    <row r="96" spans="1:15" x14ac:dyDescent="0.3">
      <c r="A96" s="4">
        <v>5535</v>
      </c>
      <c r="B96" s="2" t="s">
        <v>54</v>
      </c>
      <c r="C96" s="5">
        <v>10000</v>
      </c>
      <c r="D96" s="5">
        <f t="shared" ref="D96:D104" si="19">C96</f>
        <v>10000</v>
      </c>
      <c r="E96" s="5">
        <v>20000</v>
      </c>
      <c r="F96" s="7">
        <v>20000</v>
      </c>
      <c r="G96" s="5">
        <v>20000</v>
      </c>
      <c r="H96" s="5">
        <v>20000</v>
      </c>
      <c r="I96" s="5">
        <v>20000</v>
      </c>
      <c r="J96" s="5">
        <v>20000</v>
      </c>
      <c r="K96" s="5">
        <v>15000</v>
      </c>
      <c r="L96" s="5">
        <v>15000</v>
      </c>
      <c r="M96" s="16">
        <v>15000</v>
      </c>
      <c r="N96" s="5">
        <f t="shared" si="12"/>
        <v>0</v>
      </c>
    </row>
    <row r="97" spans="1:15" ht="20.399999999999999" x14ac:dyDescent="0.3">
      <c r="A97" s="4">
        <v>5540</v>
      </c>
      <c r="B97" s="2" t="s">
        <v>55</v>
      </c>
      <c r="C97" s="5">
        <f>53696+26000</f>
        <v>79696</v>
      </c>
      <c r="D97" s="5">
        <f t="shared" si="19"/>
        <v>79696</v>
      </c>
      <c r="E97" s="5">
        <v>56964</v>
      </c>
      <c r="F97" s="5">
        <v>56964</v>
      </c>
      <c r="G97" s="5">
        <v>57165</v>
      </c>
      <c r="H97" s="5">
        <v>57165</v>
      </c>
      <c r="I97" s="5">
        <v>57482</v>
      </c>
      <c r="J97" s="5">
        <v>57482</v>
      </c>
      <c r="K97" s="5">
        <v>74606</v>
      </c>
      <c r="L97" s="5">
        <v>74606</v>
      </c>
      <c r="M97" s="16">
        <v>76401</v>
      </c>
      <c r="N97" s="5">
        <f t="shared" si="12"/>
        <v>1795</v>
      </c>
      <c r="O97" s="11" t="s">
        <v>300</v>
      </c>
    </row>
    <row r="98" spans="1:15" ht="20.399999999999999" x14ac:dyDescent="0.3">
      <c r="A98" s="4">
        <v>5545</v>
      </c>
      <c r="B98" s="2" t="s">
        <v>56</v>
      </c>
      <c r="C98" s="5">
        <v>7100</v>
      </c>
      <c r="D98" s="5">
        <f t="shared" si="19"/>
        <v>7100</v>
      </c>
      <c r="E98" s="5">
        <v>6950</v>
      </c>
      <c r="F98" s="5">
        <v>6950</v>
      </c>
      <c r="G98" s="5">
        <v>7803</v>
      </c>
      <c r="H98" s="5">
        <v>7803</v>
      </c>
      <c r="I98" s="5">
        <v>7835</v>
      </c>
      <c r="J98" s="5">
        <v>7835</v>
      </c>
      <c r="K98" s="5">
        <v>7835</v>
      </c>
      <c r="L98" s="5">
        <v>7835</v>
      </c>
      <c r="M98" s="16">
        <v>7827</v>
      </c>
      <c r="N98" s="5">
        <f t="shared" si="12"/>
        <v>-8</v>
      </c>
    </row>
    <row r="99" spans="1:15" ht="20.399999999999999" x14ac:dyDescent="0.3">
      <c r="A99" s="14">
        <v>5550</v>
      </c>
      <c r="B99" s="2" t="s">
        <v>57</v>
      </c>
      <c r="C99" s="5">
        <f>273997.93+10000</f>
        <v>283997.93</v>
      </c>
      <c r="D99" s="5">
        <f t="shared" si="19"/>
        <v>283997.93</v>
      </c>
      <c r="E99" s="5">
        <v>328954</v>
      </c>
      <c r="F99" s="5">
        <v>328954</v>
      </c>
      <c r="G99" s="5">
        <v>331509.3</v>
      </c>
      <c r="H99" s="5">
        <v>331509.3</v>
      </c>
      <c r="I99" s="5">
        <v>339925</v>
      </c>
      <c r="J99" s="5">
        <v>339925</v>
      </c>
      <c r="K99" s="5">
        <f>354907.8+3464.43</f>
        <v>358372.23</v>
      </c>
      <c r="L99" s="5">
        <f>354907.8+3464.43</f>
        <v>358372.23</v>
      </c>
      <c r="M99" s="16">
        <v>351303.26</v>
      </c>
      <c r="N99" s="5">
        <f t="shared" si="12"/>
        <v>-7068.9699999999721</v>
      </c>
      <c r="O99" s="4" t="s">
        <v>220</v>
      </c>
    </row>
    <row r="100" spans="1:15" ht="20.399999999999999" x14ac:dyDescent="0.3">
      <c r="A100" s="14">
        <v>5551</v>
      </c>
      <c r="B100" s="2" t="s">
        <v>58</v>
      </c>
      <c r="C100" s="7">
        <f t="shared" ref="C100:J100" si="20">SUM(C101:C102)</f>
        <v>538907.65</v>
      </c>
      <c r="D100" s="7">
        <f t="shared" si="20"/>
        <v>538907.65</v>
      </c>
      <c r="E100" s="7">
        <f t="shared" si="20"/>
        <v>492082.12</v>
      </c>
      <c r="F100" s="5">
        <f t="shared" ref="F100" si="21">SUM(F101:F102)</f>
        <v>492082.12</v>
      </c>
      <c r="G100" s="7">
        <f t="shared" si="20"/>
        <v>495375.64</v>
      </c>
      <c r="H100" s="7">
        <f t="shared" si="20"/>
        <v>495375.64</v>
      </c>
      <c r="I100" s="7">
        <f t="shared" si="20"/>
        <v>495375.68</v>
      </c>
      <c r="J100" s="7">
        <f t="shared" si="20"/>
        <v>495375.68</v>
      </c>
      <c r="K100" s="7">
        <f>SUM(K101:K102)</f>
        <v>497198</v>
      </c>
      <c r="L100" s="7">
        <f>SUM(L101:L102)</f>
        <v>497198</v>
      </c>
      <c r="M100" s="17">
        <f>SUM(M101:M102)</f>
        <v>501148.17</v>
      </c>
      <c r="N100" s="5">
        <f t="shared" si="12"/>
        <v>3950.1699999999837</v>
      </c>
    </row>
    <row r="101" spans="1:15" x14ac:dyDescent="0.3">
      <c r="A101" s="4"/>
      <c r="B101" s="2" t="s">
        <v>178</v>
      </c>
      <c r="C101" s="5">
        <v>454255</v>
      </c>
      <c r="D101" s="5">
        <f t="shared" si="19"/>
        <v>454255</v>
      </c>
      <c r="E101" s="5">
        <f>C101-50000</f>
        <v>404255</v>
      </c>
      <c r="F101" s="5">
        <v>404255</v>
      </c>
      <c r="G101" s="5">
        <v>404255</v>
      </c>
      <c r="H101" s="5">
        <v>404255</v>
      </c>
      <c r="I101" s="5">
        <v>404255</v>
      </c>
      <c r="J101" s="5">
        <v>404255</v>
      </c>
      <c r="K101" s="5">
        <v>404255</v>
      </c>
      <c r="L101" s="5">
        <v>404255</v>
      </c>
      <c r="M101" s="16">
        <v>404255</v>
      </c>
      <c r="N101" s="5">
        <f t="shared" si="12"/>
        <v>0</v>
      </c>
    </row>
    <row r="102" spans="1:15" ht="20.399999999999999" x14ac:dyDescent="0.3">
      <c r="A102" s="4"/>
      <c r="B102" s="4" t="s">
        <v>154</v>
      </c>
      <c r="C102" s="5">
        <v>84652.65</v>
      </c>
      <c r="D102" s="5">
        <f t="shared" si="19"/>
        <v>84652.65</v>
      </c>
      <c r="E102" s="5">
        <v>87827.12</v>
      </c>
      <c r="F102" s="5">
        <v>87827.12</v>
      </c>
      <c r="G102" s="5">
        <v>91120.639999999999</v>
      </c>
      <c r="H102" s="5">
        <v>91120.639999999999</v>
      </c>
      <c r="I102" s="5">
        <v>91120.68</v>
      </c>
      <c r="J102" s="5">
        <v>91120.68</v>
      </c>
      <c r="K102" s="5">
        <v>92943</v>
      </c>
      <c r="L102" s="5">
        <v>92943</v>
      </c>
      <c r="M102" s="16">
        <v>96893.17</v>
      </c>
      <c r="N102" s="5">
        <f t="shared" si="12"/>
        <v>3950.1699999999983</v>
      </c>
      <c r="O102" s="11" t="s">
        <v>268</v>
      </c>
    </row>
    <row r="103" spans="1:15" x14ac:dyDescent="0.3">
      <c r="A103" s="4">
        <v>5552</v>
      </c>
      <c r="B103" s="2" t="s">
        <v>59</v>
      </c>
      <c r="C103" s="5">
        <v>9920</v>
      </c>
      <c r="D103" s="5">
        <f t="shared" si="19"/>
        <v>9920</v>
      </c>
      <c r="E103" s="5">
        <v>9920</v>
      </c>
      <c r="F103" s="5">
        <v>9920</v>
      </c>
      <c r="G103" s="5">
        <v>10960</v>
      </c>
      <c r="H103" s="5">
        <v>10960</v>
      </c>
      <c r="I103" s="5">
        <v>12208</v>
      </c>
      <c r="J103" s="5">
        <v>12208</v>
      </c>
      <c r="K103" s="5">
        <v>8539</v>
      </c>
      <c r="L103" s="5">
        <v>8539</v>
      </c>
      <c r="M103" s="16">
        <v>7856</v>
      </c>
      <c r="N103" s="5">
        <f t="shared" si="12"/>
        <v>-683</v>
      </c>
    </row>
    <row r="104" spans="1:15" ht="20.399999999999999" x14ac:dyDescent="0.3">
      <c r="A104" s="4">
        <v>5555</v>
      </c>
      <c r="B104" s="2" t="s">
        <v>60</v>
      </c>
      <c r="C104" s="5">
        <v>24494</v>
      </c>
      <c r="D104" s="5">
        <f t="shared" si="19"/>
        <v>24494</v>
      </c>
      <c r="E104" s="5">
        <v>25066</v>
      </c>
      <c r="F104" s="5">
        <v>25066</v>
      </c>
      <c r="G104" s="5">
        <v>18483</v>
      </c>
      <c r="H104" s="5">
        <v>18483</v>
      </c>
      <c r="I104" s="5">
        <v>18206</v>
      </c>
      <c r="J104" s="5">
        <v>18206</v>
      </c>
      <c r="K104" s="5">
        <v>18206</v>
      </c>
      <c r="L104" s="5">
        <v>18206</v>
      </c>
      <c r="M104" s="16">
        <v>10904</v>
      </c>
      <c r="N104" s="5">
        <f t="shared" si="12"/>
        <v>-7302</v>
      </c>
    </row>
    <row r="105" spans="1:15" x14ac:dyDescent="0.3">
      <c r="A105" s="4">
        <v>5557</v>
      </c>
      <c r="B105" s="2" t="s">
        <v>199</v>
      </c>
      <c r="J105" s="5">
        <v>63916</v>
      </c>
      <c r="K105" s="5">
        <v>65201</v>
      </c>
      <c r="L105" s="5">
        <v>65201</v>
      </c>
      <c r="M105" s="16">
        <v>104561</v>
      </c>
      <c r="N105" s="5">
        <f t="shared" si="12"/>
        <v>39360</v>
      </c>
    </row>
    <row r="106" spans="1:15" ht="30" x14ac:dyDescent="0.3">
      <c r="A106" s="4">
        <v>5560</v>
      </c>
      <c r="B106" s="2" t="s">
        <v>61</v>
      </c>
      <c r="C106" s="5">
        <v>138755</v>
      </c>
      <c r="D106" s="5">
        <f>C106-32000</f>
        <v>106755</v>
      </c>
      <c r="E106" s="5">
        <v>97894</v>
      </c>
      <c r="F106" s="5">
        <v>97894</v>
      </c>
      <c r="G106" s="5">
        <v>119287</v>
      </c>
      <c r="H106" s="5">
        <v>119287</v>
      </c>
      <c r="I106" s="5">
        <v>127885</v>
      </c>
      <c r="J106" s="5">
        <v>63969</v>
      </c>
      <c r="K106" s="5">
        <v>68825</v>
      </c>
      <c r="L106" s="5">
        <v>68825</v>
      </c>
      <c r="M106" s="16">
        <v>61987</v>
      </c>
      <c r="N106" s="5">
        <f t="shared" si="12"/>
        <v>-6838</v>
      </c>
      <c r="O106" s="4" t="s">
        <v>262</v>
      </c>
    </row>
    <row r="107" spans="1:15" ht="20.399999999999999" x14ac:dyDescent="0.3">
      <c r="A107" s="4">
        <v>5565</v>
      </c>
      <c r="B107" s="2" t="s">
        <v>62</v>
      </c>
      <c r="C107" s="5">
        <v>92754</v>
      </c>
      <c r="D107" s="5">
        <f>C107-15000</f>
        <v>77754</v>
      </c>
      <c r="E107" s="5">
        <v>78923</v>
      </c>
      <c r="F107" s="5">
        <v>78923</v>
      </c>
      <c r="G107" s="5">
        <v>64871</v>
      </c>
      <c r="H107" s="5">
        <v>64871</v>
      </c>
      <c r="I107" s="5">
        <v>63501</v>
      </c>
      <c r="J107" s="5">
        <v>63501</v>
      </c>
      <c r="K107" s="5">
        <v>63589</v>
      </c>
      <c r="L107" s="5">
        <v>63589</v>
      </c>
      <c r="M107" s="16">
        <v>52942</v>
      </c>
      <c r="N107" s="5">
        <f t="shared" si="12"/>
        <v>-10647</v>
      </c>
    </row>
    <row r="108" spans="1:15" ht="20.399999999999999" x14ac:dyDescent="0.3">
      <c r="A108" s="4">
        <v>5570</v>
      </c>
      <c r="B108" s="2" t="s">
        <v>63</v>
      </c>
      <c r="C108" s="5">
        <v>8000</v>
      </c>
      <c r="D108" s="5">
        <f>C108</f>
        <v>8000</v>
      </c>
      <c r="E108" s="5">
        <v>9000</v>
      </c>
      <c r="F108" s="5">
        <v>9000</v>
      </c>
      <c r="G108" s="5">
        <v>9000</v>
      </c>
      <c r="H108" s="5">
        <v>9000</v>
      </c>
      <c r="I108" s="5">
        <v>8500</v>
      </c>
      <c r="J108" s="5">
        <v>8500</v>
      </c>
      <c r="K108" s="5">
        <v>8500</v>
      </c>
      <c r="L108" s="5">
        <v>8500</v>
      </c>
      <c r="M108" s="16">
        <v>20000</v>
      </c>
      <c r="N108" s="5">
        <f t="shared" si="12"/>
        <v>11500</v>
      </c>
    </row>
    <row r="109" spans="1:15" ht="20.399999999999999" x14ac:dyDescent="0.3">
      <c r="A109" s="4">
        <v>5575</v>
      </c>
      <c r="B109" s="2" t="s">
        <v>64</v>
      </c>
      <c r="C109" s="5">
        <v>118249</v>
      </c>
      <c r="D109" s="5">
        <f>C109-16693</f>
        <v>101556</v>
      </c>
      <c r="E109" s="5">
        <v>105989</v>
      </c>
      <c r="F109" s="5">
        <v>105989</v>
      </c>
      <c r="G109" s="5">
        <v>104628</v>
      </c>
      <c r="H109" s="5">
        <v>104628</v>
      </c>
      <c r="I109" s="5">
        <v>103835</v>
      </c>
      <c r="J109" s="5">
        <v>103835</v>
      </c>
      <c r="K109" s="5">
        <v>103835</v>
      </c>
      <c r="L109" s="5">
        <v>103835</v>
      </c>
      <c r="M109" s="16">
        <v>106553</v>
      </c>
      <c r="N109" s="5">
        <f t="shared" si="12"/>
        <v>2718</v>
      </c>
    </row>
    <row r="110" spans="1:15" ht="20.399999999999999" x14ac:dyDescent="0.3">
      <c r="A110" s="4">
        <v>5580</v>
      </c>
      <c r="B110" s="2" t="s">
        <v>65</v>
      </c>
      <c r="C110" s="5">
        <v>633720.19999999995</v>
      </c>
      <c r="D110" s="5">
        <f>C110</f>
        <v>633720.19999999995</v>
      </c>
      <c r="E110" s="5">
        <v>658245</v>
      </c>
      <c r="F110" s="5">
        <v>658245</v>
      </c>
      <c r="G110" s="5">
        <v>678750.39</v>
      </c>
      <c r="H110" s="5">
        <v>678750.39</v>
      </c>
      <c r="I110" s="5">
        <v>694290</v>
      </c>
      <c r="J110" s="5">
        <v>694290</v>
      </c>
      <c r="K110" s="5">
        <f>708507.05+7014.92</f>
        <v>715521.97000000009</v>
      </c>
      <c r="L110" s="5">
        <f>708507.05+7014.92</f>
        <v>715521.97000000009</v>
      </c>
      <c r="M110" s="16">
        <v>696332.5</v>
      </c>
      <c r="N110" s="5">
        <f t="shared" si="12"/>
        <v>-19189.470000000088</v>
      </c>
      <c r="O110" s="4" t="s">
        <v>219</v>
      </c>
    </row>
    <row r="111" spans="1:15" ht="30" x14ac:dyDescent="0.3">
      <c r="A111" s="4">
        <v>5585</v>
      </c>
      <c r="B111" s="2" t="s">
        <v>66</v>
      </c>
      <c r="C111" s="5">
        <f>560382.95+5011+13475</f>
        <v>578868.94999999995</v>
      </c>
      <c r="D111" s="5">
        <f>685692.95+18486</f>
        <v>704178.95</v>
      </c>
      <c r="E111" s="5">
        <f>704178.95+5041+2240</f>
        <v>711459.95</v>
      </c>
      <c r="F111" s="5">
        <f>818864.08+5041+2240</f>
        <v>826145.08</v>
      </c>
      <c r="G111" s="5">
        <f>G21+4996</f>
        <v>831141.08</v>
      </c>
      <c r="H111" s="5">
        <f>585471.03+4996</f>
        <v>590467.03</v>
      </c>
      <c r="I111" s="5">
        <f>I21+7614+5146</f>
        <v>603227.03</v>
      </c>
      <c r="J111" s="5">
        <f>694349.61+7614+5146</f>
        <v>707109.61</v>
      </c>
      <c r="K111" s="5">
        <f>707109.61+1898</f>
        <v>709007.61</v>
      </c>
      <c r="L111" s="5">
        <f>805472.95+1898</f>
        <v>807370.95</v>
      </c>
      <c r="M111" s="16">
        <v>809268.95</v>
      </c>
      <c r="N111" s="5">
        <f t="shared" si="12"/>
        <v>1898</v>
      </c>
      <c r="O111" s="4" t="s">
        <v>204</v>
      </c>
    </row>
    <row r="112" spans="1:15" ht="20.399999999999999" x14ac:dyDescent="0.3">
      <c r="A112" s="4">
        <v>5586</v>
      </c>
      <c r="B112" s="2" t="s">
        <v>67</v>
      </c>
      <c r="C112" s="5">
        <v>0</v>
      </c>
      <c r="D112" s="5">
        <f>C112</f>
        <v>0</v>
      </c>
      <c r="E112" s="5">
        <v>0</v>
      </c>
      <c r="F112" s="5">
        <v>0</v>
      </c>
      <c r="G112" s="5">
        <v>0</v>
      </c>
      <c r="H112" s="5">
        <v>0</v>
      </c>
      <c r="K112" s="5">
        <v>0</v>
      </c>
      <c r="L112" s="5">
        <v>0</v>
      </c>
      <c r="M112" s="16">
        <v>0</v>
      </c>
      <c r="N112" s="5">
        <f t="shared" si="12"/>
        <v>0</v>
      </c>
    </row>
    <row r="113" spans="1:15" ht="20.399999999999999" x14ac:dyDescent="0.3">
      <c r="A113" s="4">
        <v>5587</v>
      </c>
      <c r="B113" s="2" t="s">
        <v>68</v>
      </c>
      <c r="C113" s="5">
        <v>0</v>
      </c>
      <c r="D113" s="5">
        <f>C113</f>
        <v>0</v>
      </c>
      <c r="E113" s="5">
        <v>0</v>
      </c>
      <c r="F113" s="5">
        <v>0</v>
      </c>
      <c r="G113" s="5">
        <v>0</v>
      </c>
      <c r="H113" s="5">
        <v>0</v>
      </c>
      <c r="K113" s="5">
        <v>0</v>
      </c>
      <c r="L113" s="5">
        <v>0</v>
      </c>
      <c r="M113" s="16">
        <v>0</v>
      </c>
      <c r="N113" s="5">
        <f t="shared" si="12"/>
        <v>0</v>
      </c>
    </row>
    <row r="114" spans="1:15" ht="20.399999999999999" x14ac:dyDescent="0.3">
      <c r="A114" s="4">
        <v>5590</v>
      </c>
      <c r="B114" s="2" t="s">
        <v>69</v>
      </c>
      <c r="C114" s="5">
        <v>448650.25</v>
      </c>
      <c r="D114" s="5">
        <f>410162.28-10000</f>
        <v>400162.28</v>
      </c>
      <c r="E114" s="5">
        <v>400162.28</v>
      </c>
      <c r="F114" s="5">
        <v>420962.99</v>
      </c>
      <c r="G114" s="5">
        <v>420962.99</v>
      </c>
      <c r="H114" s="5">
        <v>431974.02</v>
      </c>
      <c r="I114" s="5">
        <f>I22</f>
        <v>431974.02</v>
      </c>
      <c r="J114" s="5">
        <v>383824.08</v>
      </c>
      <c r="K114" s="5">
        <v>383824.08</v>
      </c>
      <c r="L114" s="5">
        <v>400881.11</v>
      </c>
      <c r="M114" s="16">
        <v>400881.11</v>
      </c>
      <c r="N114" s="5">
        <f t="shared" si="12"/>
        <v>0</v>
      </c>
    </row>
    <row r="115" spans="1:15" ht="20.399999999999999" x14ac:dyDescent="0.3">
      <c r="A115" s="14">
        <v>5591</v>
      </c>
      <c r="B115" s="2" t="s">
        <v>170</v>
      </c>
      <c r="C115" s="5">
        <v>101190.52</v>
      </c>
      <c r="D115" s="5">
        <f>C115</f>
        <v>101190.52</v>
      </c>
      <c r="E115" s="5">
        <v>93561.600000000006</v>
      </c>
      <c r="F115" s="7">
        <v>93561.600000000006</v>
      </c>
      <c r="G115" s="5">
        <v>106553</v>
      </c>
      <c r="H115" s="5">
        <v>106553</v>
      </c>
      <c r="I115" s="5">
        <v>3179</v>
      </c>
      <c r="J115" s="5">
        <v>3179</v>
      </c>
      <c r="K115" s="5">
        <v>3179</v>
      </c>
      <c r="L115" s="5">
        <v>3179</v>
      </c>
      <c r="M115" s="16">
        <v>3179</v>
      </c>
      <c r="N115" s="5">
        <f t="shared" si="12"/>
        <v>0</v>
      </c>
      <c r="O115" s="4" t="s">
        <v>212</v>
      </c>
    </row>
    <row r="116" spans="1:15" x14ac:dyDescent="0.3">
      <c r="A116" s="14">
        <v>5592</v>
      </c>
      <c r="B116" s="2" t="s">
        <v>171</v>
      </c>
      <c r="C116" s="5">
        <v>92000</v>
      </c>
      <c r="D116" s="5">
        <f t="shared" ref="D116:D118" si="22">C116</f>
        <v>92000</v>
      </c>
      <c r="E116" s="5">
        <v>55368</v>
      </c>
      <c r="F116" s="5">
        <v>55368</v>
      </c>
      <c r="G116" s="5">
        <v>39248</v>
      </c>
      <c r="H116" s="5">
        <v>39248</v>
      </c>
      <c r="I116" s="5">
        <v>19200</v>
      </c>
      <c r="J116" s="5">
        <v>19200</v>
      </c>
      <c r="K116" s="5">
        <v>19200</v>
      </c>
      <c r="L116" s="5">
        <v>19200</v>
      </c>
      <c r="M116" s="16">
        <v>14200</v>
      </c>
      <c r="N116" s="5">
        <f t="shared" si="12"/>
        <v>-5000</v>
      </c>
    </row>
    <row r="117" spans="1:15" ht="20.399999999999999" x14ac:dyDescent="0.3">
      <c r="A117" s="14">
        <v>5595</v>
      </c>
      <c r="B117" s="2" t="s">
        <v>184</v>
      </c>
      <c r="F117" s="5">
        <v>135000</v>
      </c>
      <c r="G117" s="5">
        <v>0</v>
      </c>
      <c r="H117" s="5">
        <v>0</v>
      </c>
      <c r="K117" s="5">
        <v>0</v>
      </c>
      <c r="L117" s="5">
        <v>0</v>
      </c>
      <c r="M117" s="16"/>
      <c r="N117" s="5">
        <f t="shared" si="12"/>
        <v>0</v>
      </c>
    </row>
    <row r="118" spans="1:15" x14ac:dyDescent="0.3">
      <c r="A118" s="14">
        <v>9161</v>
      </c>
      <c r="B118" s="2" t="s">
        <v>70</v>
      </c>
      <c r="C118" s="5">
        <v>0</v>
      </c>
      <c r="D118" s="5">
        <f t="shared" si="22"/>
        <v>0</v>
      </c>
      <c r="E118" s="5">
        <v>0</v>
      </c>
      <c r="F118" s="5">
        <v>0</v>
      </c>
      <c r="G118" s="5">
        <v>0</v>
      </c>
      <c r="H118" s="5">
        <v>0</v>
      </c>
      <c r="K118" s="5">
        <v>0</v>
      </c>
      <c r="L118" s="5">
        <v>0</v>
      </c>
      <c r="M118" s="16"/>
      <c r="N118" s="5">
        <f t="shared" si="12"/>
        <v>0</v>
      </c>
    </row>
    <row r="119" spans="1:15" x14ac:dyDescent="0.3">
      <c r="M119" s="16"/>
      <c r="N119" s="5">
        <f t="shared" si="12"/>
        <v>0</v>
      </c>
    </row>
    <row r="120" spans="1:15" x14ac:dyDescent="0.3">
      <c r="B120" s="2" t="s">
        <v>71</v>
      </c>
      <c r="C120" s="7">
        <f>SUM(C95:C100)+SUM(C103:C118)</f>
        <v>3269573.5</v>
      </c>
      <c r="D120" s="7">
        <f>SUM(D95:D100)+SUM(D103:D118)</f>
        <v>3282702.53</v>
      </c>
      <c r="E120" s="7">
        <f>SUM(E95:E100)+SUM(E103:E118)</f>
        <v>3249050.91</v>
      </c>
      <c r="F120" s="5">
        <f>SUM(F95:F100)+SUM(F103:F118)</f>
        <v>3519536.7500000005</v>
      </c>
      <c r="G120" s="7">
        <f>SUM(G95:G100)+SUM(G103:G118)</f>
        <v>3418887.36</v>
      </c>
      <c r="H120" s="7">
        <f t="shared" ref="H120" si="23">SUM(H95:H100)+SUM(H103:H118)</f>
        <v>3189224.34</v>
      </c>
      <c r="I120" s="7">
        <f>SUM(I95:I100)+SUM(I103:I118)</f>
        <v>3114732.73</v>
      </c>
      <c r="J120" s="7">
        <f>SUM(J95:J100)+SUM(J103:J118)</f>
        <v>3170465.37</v>
      </c>
      <c r="K120" s="7">
        <f>SUM(K95:K100)+SUM(K103:K118)</f>
        <v>3240746.89</v>
      </c>
      <c r="L120" s="7">
        <f>SUM(L95:L100)+SUM(L103:L118)</f>
        <v>3356167.2600000002</v>
      </c>
      <c r="M120" s="17">
        <f>SUM(M95:M100)+SUM(M103:M118)</f>
        <v>3365289.99</v>
      </c>
      <c r="N120" s="5">
        <f t="shared" si="12"/>
        <v>9122.7299999999814</v>
      </c>
    </row>
    <row r="121" spans="1:15" x14ac:dyDescent="0.3">
      <c r="A121" s="4"/>
      <c r="M121" s="16"/>
      <c r="N121" s="5">
        <f t="shared" si="12"/>
        <v>0</v>
      </c>
    </row>
    <row r="122" spans="1:15" x14ac:dyDescent="0.3">
      <c r="A122" s="4"/>
      <c r="B122" s="2" t="s">
        <v>72</v>
      </c>
      <c r="M122" s="16"/>
      <c r="N122" s="5">
        <f t="shared" si="12"/>
        <v>0</v>
      </c>
    </row>
    <row r="123" spans="1:15" x14ac:dyDescent="0.3">
      <c r="M123" s="16"/>
      <c r="N123" s="5">
        <f t="shared" si="12"/>
        <v>0</v>
      </c>
    </row>
    <row r="124" spans="1:15" ht="20.399999999999999" x14ac:dyDescent="0.3">
      <c r="A124" s="14">
        <v>5710</v>
      </c>
      <c r="B124" s="2" t="s">
        <v>73</v>
      </c>
      <c r="C124" s="5">
        <v>194514.63</v>
      </c>
      <c r="D124" s="5">
        <f>C124</f>
        <v>194514.63</v>
      </c>
      <c r="E124" s="5">
        <v>196459.78</v>
      </c>
      <c r="F124" s="5">
        <v>196459.78</v>
      </c>
      <c r="G124" s="5">
        <v>200865.82</v>
      </c>
      <c r="H124" s="5">
        <v>200865.82</v>
      </c>
      <c r="I124" s="5">
        <v>202979</v>
      </c>
      <c r="J124" s="5">
        <v>202979</v>
      </c>
      <c r="K124" s="5">
        <f>167149.7+1654.95</f>
        <v>168804.65000000002</v>
      </c>
      <c r="L124" s="5">
        <f>167149.7+1654.95</f>
        <v>168804.65000000002</v>
      </c>
      <c r="M124" s="16">
        <v>168826.22</v>
      </c>
      <c r="N124" s="5">
        <f t="shared" si="12"/>
        <v>21.569999999977881</v>
      </c>
      <c r="O124" s="4" t="s">
        <v>284</v>
      </c>
    </row>
    <row r="125" spans="1:15" ht="20.399999999999999" x14ac:dyDescent="0.3">
      <c r="A125" s="14">
        <v>5740</v>
      </c>
      <c r="B125" s="2" t="s">
        <v>74</v>
      </c>
      <c r="C125" s="5">
        <v>2000</v>
      </c>
      <c r="D125" s="5">
        <f t="shared" ref="D125:D128" si="24">C125</f>
        <v>2000</v>
      </c>
      <c r="E125" s="5">
        <v>2000</v>
      </c>
      <c r="F125" s="3">
        <v>2000</v>
      </c>
      <c r="G125" s="5">
        <v>2000</v>
      </c>
      <c r="H125" s="5">
        <v>2000</v>
      </c>
      <c r="I125" s="5">
        <v>2400</v>
      </c>
      <c r="J125" s="5">
        <v>2400</v>
      </c>
      <c r="K125" s="5">
        <v>2400</v>
      </c>
      <c r="L125" s="5">
        <v>2400</v>
      </c>
      <c r="M125" s="16">
        <v>2400</v>
      </c>
      <c r="N125" s="5">
        <f t="shared" si="12"/>
        <v>0</v>
      </c>
    </row>
    <row r="126" spans="1:15" x14ac:dyDescent="0.3">
      <c r="A126" s="14">
        <v>5750</v>
      </c>
      <c r="B126" s="2" t="s">
        <v>75</v>
      </c>
      <c r="C126" s="5">
        <v>600</v>
      </c>
      <c r="D126" s="5">
        <f t="shared" si="24"/>
        <v>600</v>
      </c>
      <c r="E126" s="5">
        <v>600</v>
      </c>
      <c r="F126" s="5">
        <v>600</v>
      </c>
      <c r="G126" s="5">
        <v>600</v>
      </c>
      <c r="H126" s="5">
        <v>600</v>
      </c>
      <c r="I126" s="5">
        <v>200</v>
      </c>
      <c r="J126" s="5">
        <v>200</v>
      </c>
      <c r="K126" s="5">
        <v>200</v>
      </c>
      <c r="L126" s="5">
        <v>200</v>
      </c>
      <c r="M126" s="16">
        <v>200</v>
      </c>
      <c r="N126" s="5">
        <f t="shared" si="12"/>
        <v>0</v>
      </c>
    </row>
    <row r="127" spans="1:15" ht="20.399999999999999" x14ac:dyDescent="0.3">
      <c r="A127" s="14">
        <v>5760</v>
      </c>
      <c r="B127" s="2" t="s">
        <v>76</v>
      </c>
      <c r="C127" s="5">
        <v>18000</v>
      </c>
      <c r="D127" s="5">
        <f t="shared" si="24"/>
        <v>18000</v>
      </c>
      <c r="E127" s="5">
        <v>21000</v>
      </c>
      <c r="F127" s="5">
        <v>21000</v>
      </c>
      <c r="G127" s="5">
        <v>21000</v>
      </c>
      <c r="H127" s="5">
        <v>21000</v>
      </c>
      <c r="I127" s="5">
        <v>21000</v>
      </c>
      <c r="J127" s="5">
        <v>21000</v>
      </c>
      <c r="K127" s="5">
        <v>21000</v>
      </c>
      <c r="L127" s="5">
        <v>21000</v>
      </c>
      <c r="M127" s="16">
        <v>21000</v>
      </c>
      <c r="N127" s="5">
        <f t="shared" si="12"/>
        <v>0</v>
      </c>
    </row>
    <row r="128" spans="1:15" x14ac:dyDescent="0.3">
      <c r="A128" s="14">
        <v>5770</v>
      </c>
      <c r="B128" s="2" t="s">
        <v>77</v>
      </c>
      <c r="C128" s="5">
        <v>0</v>
      </c>
      <c r="D128" s="5">
        <f t="shared" si="24"/>
        <v>0</v>
      </c>
      <c r="E128" s="5">
        <v>0</v>
      </c>
      <c r="F128" s="5">
        <v>0</v>
      </c>
      <c r="G128" s="5">
        <v>0</v>
      </c>
      <c r="H128" s="5">
        <v>0</v>
      </c>
      <c r="I128" s="5">
        <v>0</v>
      </c>
      <c r="J128" s="5">
        <v>0</v>
      </c>
      <c r="K128" s="5">
        <v>0</v>
      </c>
      <c r="L128" s="5">
        <v>0</v>
      </c>
      <c r="M128" s="16">
        <v>0</v>
      </c>
      <c r="N128" s="5">
        <f t="shared" si="12"/>
        <v>0</v>
      </c>
    </row>
    <row r="129" spans="1:15" x14ac:dyDescent="0.3">
      <c r="A129" s="4"/>
      <c r="M129" s="16"/>
      <c r="N129" s="5">
        <f t="shared" si="12"/>
        <v>0</v>
      </c>
    </row>
    <row r="130" spans="1:15" x14ac:dyDescent="0.3">
      <c r="A130" s="4"/>
      <c r="B130" s="2" t="s">
        <v>78</v>
      </c>
      <c r="C130" s="10">
        <f t="shared" ref="C130:J130" si="25">SUM(C124:C128)</f>
        <v>215114.63</v>
      </c>
      <c r="D130" s="10">
        <f t="shared" si="25"/>
        <v>215114.63</v>
      </c>
      <c r="E130" s="10">
        <f t="shared" si="25"/>
        <v>220059.78</v>
      </c>
      <c r="F130" s="8">
        <f t="shared" ref="F130" si="26">SUM(F124:F128)</f>
        <v>220059.78</v>
      </c>
      <c r="G130" s="10">
        <f t="shared" si="25"/>
        <v>224465.82</v>
      </c>
      <c r="H130" s="10">
        <f t="shared" ref="H130" si="27">SUM(H124:H128)</f>
        <v>224465.82</v>
      </c>
      <c r="I130" s="10">
        <f t="shared" si="25"/>
        <v>226579</v>
      </c>
      <c r="J130" s="10">
        <f t="shared" si="25"/>
        <v>226579</v>
      </c>
      <c r="K130" s="3">
        <f>SUM(K124:K128)</f>
        <v>192404.65000000002</v>
      </c>
      <c r="L130" s="3">
        <f>SUM(L124:L128)</f>
        <v>192404.65000000002</v>
      </c>
      <c r="M130" s="18">
        <f>SUM(M124:M128)</f>
        <v>192426.22</v>
      </c>
      <c r="N130" s="5">
        <f t="shared" si="12"/>
        <v>21.569999999977881</v>
      </c>
    </row>
    <row r="131" spans="1:15" x14ac:dyDescent="0.3">
      <c r="A131" s="4"/>
      <c r="M131" s="16"/>
      <c r="N131" s="5">
        <f t="shared" si="12"/>
        <v>0</v>
      </c>
    </row>
    <row r="132" spans="1:15" x14ac:dyDescent="0.3">
      <c r="A132" s="4"/>
      <c r="B132" s="2" t="s">
        <v>79</v>
      </c>
      <c r="M132" s="16"/>
      <c r="N132" s="5">
        <f t="shared" si="12"/>
        <v>0</v>
      </c>
    </row>
    <row r="133" spans="1:15" x14ac:dyDescent="0.3">
      <c r="A133" s="4"/>
      <c r="M133" s="16"/>
      <c r="N133" s="5">
        <f t="shared" si="12"/>
        <v>0</v>
      </c>
    </row>
    <row r="134" spans="1:15" ht="20.399999999999999" x14ac:dyDescent="0.3">
      <c r="A134" s="4">
        <v>6010</v>
      </c>
      <c r="B134" s="2" t="s">
        <v>80</v>
      </c>
      <c r="C134" s="5">
        <v>169962.57</v>
      </c>
      <c r="D134" s="5">
        <f>C134+31965+20300-400</f>
        <v>221827.57</v>
      </c>
      <c r="E134" s="5">
        <v>259821.13</v>
      </c>
      <c r="F134" s="5">
        <v>259821.13</v>
      </c>
      <c r="G134" s="5">
        <v>263531.57</v>
      </c>
      <c r="H134" s="5">
        <v>263531.57</v>
      </c>
      <c r="I134" s="5">
        <v>272065</v>
      </c>
      <c r="J134" s="5">
        <v>272065</v>
      </c>
      <c r="K134" s="5">
        <f>317885.79+3147.38</f>
        <v>321033.17</v>
      </c>
      <c r="L134" s="5">
        <f>317885.79+3147.38</f>
        <v>321033.17</v>
      </c>
      <c r="M134" s="16">
        <v>323526.68</v>
      </c>
      <c r="N134" s="5">
        <f t="shared" si="12"/>
        <v>2493.5100000000093</v>
      </c>
      <c r="O134" s="4" t="s">
        <v>218</v>
      </c>
    </row>
    <row r="135" spans="1:15" ht="20.399999999999999" x14ac:dyDescent="0.3">
      <c r="A135" s="14">
        <v>6040</v>
      </c>
      <c r="B135" s="2" t="s">
        <v>81</v>
      </c>
      <c r="C135" s="5">
        <v>30000</v>
      </c>
      <c r="D135" s="5">
        <f>C135</f>
        <v>30000</v>
      </c>
      <c r="E135" s="5">
        <v>36888</v>
      </c>
      <c r="F135" s="7">
        <v>36888</v>
      </c>
      <c r="G135" s="5">
        <v>36888</v>
      </c>
      <c r="H135" s="5">
        <v>26000</v>
      </c>
      <c r="I135" s="5">
        <v>31241.39</v>
      </c>
      <c r="J135" s="5">
        <v>20563.39</v>
      </c>
      <c r="K135" s="5">
        <v>28000</v>
      </c>
      <c r="L135" s="5">
        <v>28000</v>
      </c>
      <c r="M135" s="16">
        <v>40000</v>
      </c>
      <c r="N135" s="5">
        <f t="shared" si="12"/>
        <v>12000</v>
      </c>
      <c r="O135" s="4" t="s">
        <v>282</v>
      </c>
    </row>
    <row r="136" spans="1:15" ht="20.399999999999999" x14ac:dyDescent="0.3">
      <c r="A136" s="14">
        <v>6050</v>
      </c>
      <c r="B136" s="2" t="s">
        <v>82</v>
      </c>
      <c r="C136" s="5">
        <v>18000</v>
      </c>
      <c r="D136" s="5">
        <f>C136+1000</f>
        <v>19000</v>
      </c>
      <c r="E136" s="5">
        <v>19000</v>
      </c>
      <c r="F136" s="5">
        <v>19000</v>
      </c>
      <c r="G136" s="5">
        <v>19000</v>
      </c>
      <c r="H136" s="5">
        <v>10000</v>
      </c>
      <c r="I136" s="5">
        <v>14000</v>
      </c>
      <c r="J136" s="5">
        <v>3000</v>
      </c>
      <c r="K136" s="5">
        <v>12000</v>
      </c>
      <c r="L136" s="5">
        <v>12000</v>
      </c>
      <c r="M136" s="16">
        <v>15000</v>
      </c>
      <c r="N136" s="5">
        <f t="shared" ref="N136:N200" si="28">M136-L136</f>
        <v>3000</v>
      </c>
      <c r="O136" s="4" t="s">
        <v>221</v>
      </c>
    </row>
    <row r="137" spans="1:15" x14ac:dyDescent="0.3">
      <c r="A137" s="14">
        <v>6060</v>
      </c>
      <c r="B137" s="2" t="s">
        <v>162</v>
      </c>
      <c r="D137" s="5">
        <v>317.5</v>
      </c>
      <c r="E137" s="5">
        <v>2287.5</v>
      </c>
      <c r="F137" s="5">
        <v>2287.5</v>
      </c>
      <c r="G137" s="5">
        <v>2287.5</v>
      </c>
      <c r="H137" s="5">
        <v>2287.5</v>
      </c>
      <c r="I137" s="5">
        <v>2287.5</v>
      </c>
      <c r="J137" s="5">
        <v>2287.5</v>
      </c>
      <c r="K137" s="5">
        <v>787.5</v>
      </c>
      <c r="L137" s="5">
        <v>787.5</v>
      </c>
      <c r="M137" s="16">
        <v>0</v>
      </c>
      <c r="N137" s="5">
        <f t="shared" si="28"/>
        <v>-787.5</v>
      </c>
      <c r="O137" s="4" t="s">
        <v>222</v>
      </c>
    </row>
    <row r="138" spans="1:15" x14ac:dyDescent="0.3">
      <c r="A138" s="14">
        <v>6070</v>
      </c>
      <c r="B138" s="2" t="s">
        <v>163</v>
      </c>
      <c r="D138" s="5">
        <f>317.5+400</f>
        <v>717.5</v>
      </c>
      <c r="E138" s="5">
        <v>2287.5</v>
      </c>
      <c r="F138" s="5">
        <v>2287.5</v>
      </c>
      <c r="G138" s="5">
        <v>5287.5</v>
      </c>
      <c r="H138" s="5">
        <v>5287.5</v>
      </c>
      <c r="I138" s="5">
        <v>2287.5</v>
      </c>
      <c r="J138" s="5">
        <v>2287.5</v>
      </c>
      <c r="K138" s="5">
        <v>1287.5</v>
      </c>
      <c r="L138" s="5">
        <v>1287.5</v>
      </c>
      <c r="M138" s="16">
        <v>1287.5</v>
      </c>
      <c r="N138" s="5">
        <f t="shared" si="28"/>
        <v>0</v>
      </c>
    </row>
    <row r="139" spans="1:15" x14ac:dyDescent="0.3">
      <c r="M139" s="16"/>
      <c r="N139" s="5">
        <f t="shared" si="28"/>
        <v>0</v>
      </c>
    </row>
    <row r="140" spans="1:15" x14ac:dyDescent="0.3">
      <c r="B140" s="2" t="s">
        <v>83</v>
      </c>
      <c r="C140" s="9">
        <f t="shared" ref="C140" si="29">SUM(C134:C136)</f>
        <v>217962.57</v>
      </c>
      <c r="D140" s="7">
        <f t="shared" ref="D140:J140" si="30">SUM(D134:D138)</f>
        <v>271862.57</v>
      </c>
      <c r="E140" s="7">
        <f t="shared" si="30"/>
        <v>320284.13</v>
      </c>
      <c r="F140" s="5">
        <f t="shared" si="30"/>
        <v>320284.13</v>
      </c>
      <c r="G140" s="7">
        <f t="shared" si="30"/>
        <v>326994.57</v>
      </c>
      <c r="H140" s="7">
        <f t="shared" si="30"/>
        <v>307106.57</v>
      </c>
      <c r="I140" s="7">
        <f t="shared" si="30"/>
        <v>321881.39</v>
      </c>
      <c r="J140" s="7">
        <f t="shared" si="30"/>
        <v>300203.39</v>
      </c>
      <c r="K140" s="7">
        <f>SUM(K134:K138)</f>
        <v>363108.17</v>
      </c>
      <c r="L140" s="7">
        <f>SUM(L134:L138)</f>
        <v>363108.17</v>
      </c>
      <c r="M140" s="17">
        <f>SUM(M134:M138)</f>
        <v>379814.18</v>
      </c>
      <c r="N140" s="5">
        <f t="shared" si="28"/>
        <v>16706.010000000009</v>
      </c>
    </row>
    <row r="141" spans="1:15" x14ac:dyDescent="0.3">
      <c r="A141" s="4"/>
      <c r="M141" s="16"/>
      <c r="N141" s="5">
        <f t="shared" si="28"/>
        <v>0</v>
      </c>
    </row>
    <row r="142" spans="1:15" x14ac:dyDescent="0.3">
      <c r="A142" s="4"/>
      <c r="B142" s="2" t="s">
        <v>84</v>
      </c>
      <c r="M142" s="16"/>
      <c r="N142" s="5">
        <f t="shared" si="28"/>
        <v>0</v>
      </c>
    </row>
    <row r="143" spans="1:15" x14ac:dyDescent="0.3">
      <c r="A143" s="4"/>
      <c r="M143" s="16"/>
      <c r="N143" s="5">
        <f t="shared" si="28"/>
        <v>0</v>
      </c>
    </row>
    <row r="144" spans="1:15" ht="20.399999999999999" x14ac:dyDescent="0.3">
      <c r="A144" s="4">
        <v>7010</v>
      </c>
      <c r="B144" s="2" t="s">
        <v>85</v>
      </c>
      <c r="C144" s="5">
        <v>20000</v>
      </c>
      <c r="D144" s="5">
        <f>C144-5000</f>
        <v>15000</v>
      </c>
      <c r="E144" s="5">
        <v>15000</v>
      </c>
      <c r="F144" s="5">
        <v>15000</v>
      </c>
      <c r="G144" s="5">
        <v>15000</v>
      </c>
      <c r="H144" s="5">
        <v>15000</v>
      </c>
      <c r="I144" s="5">
        <v>15000</v>
      </c>
      <c r="J144" s="5">
        <v>15000</v>
      </c>
      <c r="K144" s="5">
        <v>15000</v>
      </c>
      <c r="L144" s="5">
        <v>15000</v>
      </c>
      <c r="M144" s="16">
        <v>5000</v>
      </c>
      <c r="N144" s="5">
        <f t="shared" si="28"/>
        <v>-10000</v>
      </c>
      <c r="O144" s="4" t="s">
        <v>214</v>
      </c>
    </row>
    <row r="145" spans="1:15" x14ac:dyDescent="0.3">
      <c r="A145" s="14">
        <v>7030</v>
      </c>
      <c r="B145" s="2" t="s">
        <v>86</v>
      </c>
      <c r="C145" s="5">
        <v>2000</v>
      </c>
      <c r="D145" s="5">
        <f>C145</f>
        <v>2000</v>
      </c>
      <c r="E145" s="5">
        <f>D145</f>
        <v>2000</v>
      </c>
      <c r="F145" s="5">
        <v>2000</v>
      </c>
      <c r="G145" s="5">
        <v>2000</v>
      </c>
      <c r="H145" s="5">
        <v>2000</v>
      </c>
      <c r="I145" s="5">
        <v>2000</v>
      </c>
      <c r="J145" s="5">
        <v>2000</v>
      </c>
      <c r="K145" s="5">
        <v>2000</v>
      </c>
      <c r="L145" s="5">
        <v>2000</v>
      </c>
      <c r="M145" s="16">
        <v>2500</v>
      </c>
      <c r="N145" s="5">
        <f t="shared" si="28"/>
        <v>500</v>
      </c>
      <c r="O145" s="4" t="s">
        <v>215</v>
      </c>
    </row>
    <row r="146" spans="1:15" x14ac:dyDescent="0.3">
      <c r="A146" s="14">
        <v>7050</v>
      </c>
      <c r="B146" s="2" t="s">
        <v>87</v>
      </c>
      <c r="C146" s="5">
        <v>3250</v>
      </c>
      <c r="D146" s="5">
        <f t="shared" ref="D146:D148" si="31">C146</f>
        <v>3250</v>
      </c>
      <c r="E146" s="5">
        <f>D146</f>
        <v>3250</v>
      </c>
      <c r="F146" s="5">
        <v>3250</v>
      </c>
      <c r="G146" s="5">
        <v>3523</v>
      </c>
      <c r="H146" s="5">
        <v>3523</v>
      </c>
      <c r="I146" s="5">
        <v>3523</v>
      </c>
      <c r="J146" s="5">
        <v>3523</v>
      </c>
      <c r="K146" s="5">
        <v>3523</v>
      </c>
      <c r="L146" s="5">
        <v>3523</v>
      </c>
      <c r="M146" s="16">
        <v>3523</v>
      </c>
      <c r="N146" s="5">
        <f t="shared" si="28"/>
        <v>0</v>
      </c>
    </row>
    <row r="147" spans="1:15" ht="20.399999999999999" x14ac:dyDescent="0.3">
      <c r="A147" s="14">
        <v>7070</v>
      </c>
      <c r="B147" s="2" t="s">
        <v>88</v>
      </c>
      <c r="C147" s="5">
        <v>21000</v>
      </c>
      <c r="D147" s="5">
        <f t="shared" si="31"/>
        <v>21000</v>
      </c>
      <c r="E147" s="5">
        <f>D147</f>
        <v>21000</v>
      </c>
      <c r="F147" s="5">
        <v>21000</v>
      </c>
      <c r="G147" s="5">
        <v>21000</v>
      </c>
      <c r="H147" s="5">
        <v>21000</v>
      </c>
      <c r="I147" s="5">
        <v>21000</v>
      </c>
      <c r="J147" s="5">
        <v>21000</v>
      </c>
      <c r="K147" s="5">
        <v>16000</v>
      </c>
      <c r="L147" s="5">
        <v>16000</v>
      </c>
      <c r="M147" s="16">
        <v>4000</v>
      </c>
      <c r="N147" s="5">
        <f t="shared" si="28"/>
        <v>-12000</v>
      </c>
      <c r="O147" s="4" t="s">
        <v>214</v>
      </c>
    </row>
    <row r="148" spans="1:15" x14ac:dyDescent="0.3">
      <c r="A148" s="14">
        <v>7090</v>
      </c>
      <c r="B148" s="2" t="s">
        <v>89</v>
      </c>
      <c r="C148" s="5">
        <v>1000</v>
      </c>
      <c r="D148" s="5">
        <f t="shared" si="31"/>
        <v>1000</v>
      </c>
      <c r="E148" s="5">
        <f>D148</f>
        <v>1000</v>
      </c>
      <c r="F148" s="5">
        <v>1000</v>
      </c>
      <c r="G148" s="5">
        <v>1500</v>
      </c>
      <c r="H148" s="5">
        <v>750</v>
      </c>
      <c r="I148" s="5">
        <v>1500</v>
      </c>
      <c r="J148" s="5">
        <v>1500</v>
      </c>
      <c r="K148" s="5">
        <v>1000</v>
      </c>
      <c r="L148" s="5">
        <v>1000</v>
      </c>
      <c r="M148" s="16">
        <v>3000</v>
      </c>
      <c r="N148" s="5">
        <f t="shared" si="28"/>
        <v>2000</v>
      </c>
      <c r="O148" s="11" t="s">
        <v>276</v>
      </c>
    </row>
    <row r="149" spans="1:15" x14ac:dyDescent="0.3">
      <c r="A149" s="4"/>
      <c r="M149" s="16"/>
      <c r="N149" s="5">
        <f t="shared" si="28"/>
        <v>0</v>
      </c>
    </row>
    <row r="150" spans="1:15" x14ac:dyDescent="0.3">
      <c r="A150" s="4"/>
      <c r="B150" s="2" t="s">
        <v>90</v>
      </c>
      <c r="C150" s="10">
        <f t="shared" ref="C150:J150" si="32">SUM(C144:C148)</f>
        <v>47250</v>
      </c>
      <c r="D150" s="10">
        <f t="shared" si="32"/>
        <v>42250</v>
      </c>
      <c r="E150" s="10">
        <f t="shared" si="32"/>
        <v>42250</v>
      </c>
      <c r="F150" s="10">
        <f t="shared" si="32"/>
        <v>42250</v>
      </c>
      <c r="G150" s="10">
        <f t="shared" si="32"/>
        <v>43023</v>
      </c>
      <c r="H150" s="10">
        <f t="shared" si="32"/>
        <v>42273</v>
      </c>
      <c r="I150" s="10">
        <f t="shared" si="32"/>
        <v>43023</v>
      </c>
      <c r="J150" s="10">
        <f t="shared" si="32"/>
        <v>43023</v>
      </c>
      <c r="K150" s="3">
        <f>SUM(K144:K148)</f>
        <v>37523</v>
      </c>
      <c r="L150" s="3">
        <f>SUM(L144:L148)</f>
        <v>37523</v>
      </c>
      <c r="M150" s="18">
        <f>SUM(M144:M148)</f>
        <v>18023</v>
      </c>
      <c r="N150" s="5">
        <f t="shared" si="28"/>
        <v>-19500</v>
      </c>
    </row>
    <row r="151" spans="1:15" x14ac:dyDescent="0.3">
      <c r="A151" s="4"/>
      <c r="M151" s="16"/>
      <c r="N151" s="5">
        <f t="shared" si="28"/>
        <v>0</v>
      </c>
    </row>
    <row r="152" spans="1:15" x14ac:dyDescent="0.3">
      <c r="A152" s="4"/>
      <c r="B152" s="2" t="s">
        <v>91</v>
      </c>
      <c r="M152" s="16"/>
      <c r="N152" s="5">
        <f t="shared" si="28"/>
        <v>0</v>
      </c>
    </row>
    <row r="153" spans="1:15" x14ac:dyDescent="0.3">
      <c r="A153" s="4"/>
      <c r="M153" s="16"/>
      <c r="N153" s="5">
        <f t="shared" si="28"/>
        <v>0</v>
      </c>
    </row>
    <row r="154" spans="1:15" x14ac:dyDescent="0.3">
      <c r="A154" s="4">
        <v>7210</v>
      </c>
      <c r="B154" s="2" t="s">
        <v>92</v>
      </c>
      <c r="C154" s="5">
        <v>92000</v>
      </c>
      <c r="D154" s="5">
        <f>C154</f>
        <v>92000</v>
      </c>
      <c r="E154" s="5">
        <f>86000+4422</f>
        <v>90422</v>
      </c>
      <c r="F154" s="5">
        <f>86000+4422</f>
        <v>90422</v>
      </c>
      <c r="G154" s="5">
        <v>85000</v>
      </c>
      <c r="H154" s="5">
        <v>60000</v>
      </c>
      <c r="I154" s="5">
        <v>81000</v>
      </c>
      <c r="J154" s="5">
        <v>81000</v>
      </c>
      <c r="K154" s="5">
        <v>85000</v>
      </c>
      <c r="L154" s="5">
        <v>85000</v>
      </c>
      <c r="M154" s="16">
        <v>100000</v>
      </c>
      <c r="N154" s="5">
        <f t="shared" si="28"/>
        <v>15000</v>
      </c>
    </row>
    <row r="155" spans="1:15" ht="39.6" x14ac:dyDescent="0.3">
      <c r="A155" s="14">
        <v>7220</v>
      </c>
      <c r="B155" s="2" t="s">
        <v>93</v>
      </c>
      <c r="C155" s="5">
        <v>1035386</v>
      </c>
      <c r="D155" s="5">
        <f t="shared" ref="D155:D162" si="33">C155</f>
        <v>1035386</v>
      </c>
      <c r="E155" s="5">
        <v>1044125</v>
      </c>
      <c r="F155" s="5">
        <v>1044125</v>
      </c>
      <c r="G155" s="5">
        <v>1049887.6299999999</v>
      </c>
      <c r="H155" s="5">
        <f>1049887.63-6000</f>
        <v>1043887.6299999999</v>
      </c>
      <c r="I155" s="5">
        <v>1000000</v>
      </c>
      <c r="J155" s="5">
        <v>1000000</v>
      </c>
      <c r="K155" s="5">
        <f>1036394.25+10261.33-100000</f>
        <v>946655.58</v>
      </c>
      <c r="L155" s="5">
        <f>1036394.25+10261.33-100000</f>
        <v>946655.58</v>
      </c>
      <c r="M155" s="16">
        <v>907082</v>
      </c>
      <c r="N155" s="5">
        <f t="shared" si="28"/>
        <v>-39573.579999999958</v>
      </c>
      <c r="O155" s="4" t="s">
        <v>223</v>
      </c>
    </row>
    <row r="156" spans="1:15" ht="20.399999999999999" x14ac:dyDescent="0.3">
      <c r="A156" s="14">
        <v>7260</v>
      </c>
      <c r="B156" s="2" t="s">
        <v>94</v>
      </c>
      <c r="C156" s="5">
        <v>76000</v>
      </c>
      <c r="D156" s="5">
        <f t="shared" si="33"/>
        <v>76000</v>
      </c>
      <c r="E156" s="5">
        <v>76500</v>
      </c>
      <c r="F156" s="5">
        <v>76500</v>
      </c>
      <c r="G156" s="5">
        <v>68773</v>
      </c>
      <c r="H156" s="5">
        <v>68773</v>
      </c>
      <c r="I156" s="5">
        <v>73000</v>
      </c>
      <c r="J156" s="5">
        <v>73000</v>
      </c>
      <c r="K156" s="5">
        <v>73000</v>
      </c>
      <c r="L156" s="5">
        <v>73000</v>
      </c>
      <c r="M156" s="16">
        <v>74000</v>
      </c>
      <c r="N156" s="5">
        <f t="shared" si="28"/>
        <v>1000</v>
      </c>
    </row>
    <row r="157" spans="1:15" x14ac:dyDescent="0.3">
      <c r="A157" s="14">
        <v>7270</v>
      </c>
      <c r="B157" s="2" t="s">
        <v>95</v>
      </c>
      <c r="C157" s="5">
        <v>8000</v>
      </c>
      <c r="D157" s="5">
        <f t="shared" si="33"/>
        <v>8000</v>
      </c>
      <c r="E157" s="5">
        <v>8000</v>
      </c>
      <c r="F157" s="3">
        <v>8000</v>
      </c>
      <c r="G157" s="5">
        <v>8000</v>
      </c>
      <c r="H157" s="5">
        <v>8000</v>
      </c>
      <c r="I157" s="5">
        <v>7500</v>
      </c>
      <c r="J157" s="5">
        <v>7500</v>
      </c>
      <c r="K157" s="5">
        <v>7500</v>
      </c>
      <c r="L157" s="5">
        <v>7500</v>
      </c>
      <c r="M157" s="16">
        <v>8500</v>
      </c>
      <c r="N157" s="5">
        <f t="shared" si="28"/>
        <v>1000</v>
      </c>
    </row>
    <row r="158" spans="1:15" x14ac:dyDescent="0.3">
      <c r="A158" s="14">
        <v>7280</v>
      </c>
      <c r="B158" s="2" t="s">
        <v>96</v>
      </c>
      <c r="C158" s="5">
        <v>0</v>
      </c>
      <c r="D158" s="5">
        <f t="shared" si="33"/>
        <v>0</v>
      </c>
      <c r="E158" s="5">
        <v>0</v>
      </c>
      <c r="F158" s="5">
        <v>0</v>
      </c>
      <c r="G158" s="5">
        <v>0</v>
      </c>
      <c r="H158" s="5">
        <v>0</v>
      </c>
      <c r="I158" s="5">
        <v>0</v>
      </c>
      <c r="J158" s="5">
        <v>0</v>
      </c>
      <c r="K158" s="5">
        <v>0</v>
      </c>
      <c r="L158" s="5">
        <v>0</v>
      </c>
      <c r="M158" s="16">
        <v>0</v>
      </c>
      <c r="N158" s="5">
        <f t="shared" si="28"/>
        <v>0</v>
      </c>
      <c r="O158" s="4" t="s">
        <v>224</v>
      </c>
    </row>
    <row r="159" spans="1:15" x14ac:dyDescent="0.3">
      <c r="A159" s="4">
        <v>7290</v>
      </c>
      <c r="B159" s="2" t="s">
        <v>97</v>
      </c>
      <c r="C159" s="5">
        <v>44101</v>
      </c>
      <c r="D159" s="5">
        <f t="shared" si="33"/>
        <v>44101</v>
      </c>
      <c r="E159" s="5">
        <v>45425</v>
      </c>
      <c r="F159" s="5">
        <v>45425</v>
      </c>
      <c r="G159" s="5">
        <v>46800</v>
      </c>
      <c r="H159" s="5">
        <v>46800</v>
      </c>
      <c r="I159" s="5">
        <v>46800</v>
      </c>
      <c r="J159" s="5">
        <v>46800</v>
      </c>
      <c r="K159" s="5">
        <v>71120</v>
      </c>
      <c r="L159" s="5">
        <v>71120</v>
      </c>
      <c r="M159" s="16">
        <v>86250</v>
      </c>
      <c r="N159" s="5">
        <f t="shared" si="28"/>
        <v>15130</v>
      </c>
    </row>
    <row r="160" spans="1:15" ht="20.399999999999999" x14ac:dyDescent="0.3">
      <c r="A160" s="4">
        <v>7293</v>
      </c>
      <c r="B160" s="2" t="s">
        <v>245</v>
      </c>
      <c r="M160" s="16">
        <v>0</v>
      </c>
      <c r="N160" s="5">
        <f t="shared" si="28"/>
        <v>0</v>
      </c>
      <c r="O160" s="4" t="s">
        <v>273</v>
      </c>
    </row>
    <row r="161" spans="1:15" ht="20.399999999999999" x14ac:dyDescent="0.3">
      <c r="A161" s="4">
        <v>7294</v>
      </c>
      <c r="B161" s="2" t="s">
        <v>246</v>
      </c>
      <c r="M161" s="16">
        <v>140739.72</v>
      </c>
      <c r="N161" s="5">
        <f t="shared" si="28"/>
        <v>140739.72</v>
      </c>
      <c r="O161" s="4" t="s">
        <v>273</v>
      </c>
    </row>
    <row r="162" spans="1:15" ht="20.399999999999999" x14ac:dyDescent="0.3">
      <c r="A162" s="4">
        <v>7295</v>
      </c>
      <c r="B162" s="2" t="s">
        <v>200</v>
      </c>
      <c r="C162" s="5">
        <v>185000</v>
      </c>
      <c r="D162" s="5">
        <f t="shared" si="33"/>
        <v>185000</v>
      </c>
      <c r="E162" s="5">
        <v>185500</v>
      </c>
      <c r="F162" s="5">
        <v>185500</v>
      </c>
      <c r="G162" s="5">
        <v>186000</v>
      </c>
      <c r="H162" s="5">
        <v>186000</v>
      </c>
      <c r="I162" s="5">
        <v>184000</v>
      </c>
      <c r="J162" s="5">
        <f>184000-169645.69</f>
        <v>14354.309999999998</v>
      </c>
      <c r="K162" s="5">
        <v>13657.89</v>
      </c>
      <c r="L162" s="5">
        <v>13657.89</v>
      </c>
      <c r="M162" s="16">
        <v>13000</v>
      </c>
      <c r="N162" s="5">
        <f t="shared" ref="N162:N163" si="34">M162-L164</f>
        <v>13000</v>
      </c>
      <c r="O162" s="11" t="s">
        <v>289</v>
      </c>
    </row>
    <row r="163" spans="1:15" x14ac:dyDescent="0.3">
      <c r="A163" s="4">
        <v>7296</v>
      </c>
      <c r="B163" s="2" t="s">
        <v>201</v>
      </c>
      <c r="J163" s="5">
        <v>169645.69</v>
      </c>
      <c r="K163" s="5">
        <v>171342.11</v>
      </c>
      <c r="L163" s="5">
        <v>171342.11</v>
      </c>
      <c r="M163" s="16">
        <v>158502.19</v>
      </c>
      <c r="N163" s="5">
        <f t="shared" si="34"/>
        <v>158502.19</v>
      </c>
      <c r="O163" s="4" t="s">
        <v>272</v>
      </c>
    </row>
    <row r="164" spans="1:15" x14ac:dyDescent="0.3">
      <c r="A164" s="4">
        <v>7297</v>
      </c>
      <c r="B164" s="2" t="s">
        <v>186</v>
      </c>
      <c r="G164" s="5">
        <f>35240.66-4444</f>
        <v>30796.660000000003</v>
      </c>
      <c r="H164" s="5">
        <v>0</v>
      </c>
      <c r="I164" s="5">
        <v>35241</v>
      </c>
      <c r="J164" s="5">
        <v>35241</v>
      </c>
      <c r="K164" s="5">
        <v>0</v>
      </c>
      <c r="L164" s="5">
        <v>0</v>
      </c>
      <c r="M164" s="16">
        <v>0</v>
      </c>
      <c r="N164" s="5">
        <f t="shared" si="28"/>
        <v>0</v>
      </c>
    </row>
    <row r="165" spans="1:15" x14ac:dyDescent="0.3">
      <c r="A165" s="4"/>
      <c r="M165" s="16"/>
      <c r="N165" s="5">
        <f t="shared" si="28"/>
        <v>0</v>
      </c>
    </row>
    <row r="166" spans="1:15" x14ac:dyDescent="0.3">
      <c r="A166" s="4"/>
      <c r="B166" s="2" t="s">
        <v>98</v>
      </c>
      <c r="C166" s="10">
        <f t="shared" ref="C166:E166" si="35">SUM(C154:C162)</f>
        <v>1440487</v>
      </c>
      <c r="D166" s="10">
        <f t="shared" si="35"/>
        <v>1440487</v>
      </c>
      <c r="E166" s="10">
        <f t="shared" si="35"/>
        <v>1449972</v>
      </c>
      <c r="F166" s="8">
        <f>SUM(F154:F162)</f>
        <v>1449972</v>
      </c>
      <c r="G166" s="3">
        <f t="shared" ref="G166:L166" si="36">SUM(G154:G164)</f>
        <v>1475257.2899999998</v>
      </c>
      <c r="H166" s="3">
        <f t="shared" si="36"/>
        <v>1413460.63</v>
      </c>
      <c r="I166" s="3">
        <f t="shared" si="36"/>
        <v>1427541</v>
      </c>
      <c r="J166" s="3">
        <f t="shared" si="36"/>
        <v>1427541</v>
      </c>
      <c r="K166" s="3">
        <f t="shared" si="36"/>
        <v>1368275.58</v>
      </c>
      <c r="L166" s="3">
        <f t="shared" si="36"/>
        <v>1368275.58</v>
      </c>
      <c r="M166" s="18">
        <f>SUM(M154:M164)</f>
        <v>1488073.91</v>
      </c>
      <c r="N166" s="5">
        <f t="shared" si="28"/>
        <v>119798.32999999984</v>
      </c>
    </row>
    <row r="167" spans="1:15" x14ac:dyDescent="0.3">
      <c r="A167" s="4"/>
      <c r="M167" s="16"/>
      <c r="N167" s="5">
        <f t="shared" si="28"/>
        <v>0</v>
      </c>
    </row>
    <row r="168" spans="1:15" x14ac:dyDescent="0.3">
      <c r="A168" s="4"/>
      <c r="B168" s="2" t="s">
        <v>99</v>
      </c>
      <c r="M168" s="16"/>
      <c r="N168" s="5">
        <f t="shared" si="28"/>
        <v>0</v>
      </c>
    </row>
    <row r="169" spans="1:15" x14ac:dyDescent="0.3">
      <c r="A169" s="4"/>
      <c r="M169" s="16"/>
      <c r="N169" s="5">
        <f t="shared" si="28"/>
        <v>0</v>
      </c>
    </row>
    <row r="170" spans="1:15" x14ac:dyDescent="0.3">
      <c r="A170" s="4">
        <v>7430</v>
      </c>
      <c r="B170" s="2" t="s">
        <v>172</v>
      </c>
      <c r="C170" s="5">
        <v>31275</v>
      </c>
      <c r="D170" s="5">
        <f>C170</f>
        <v>31275</v>
      </c>
      <c r="E170" s="5">
        <f>D170</f>
        <v>31275</v>
      </c>
      <c r="F170" s="5">
        <v>31275</v>
      </c>
      <c r="G170" s="5">
        <v>31275</v>
      </c>
      <c r="H170" s="5">
        <v>31275</v>
      </c>
      <c r="I170" s="5">
        <v>31275</v>
      </c>
      <c r="J170" s="5">
        <v>31275</v>
      </c>
      <c r="K170" s="5">
        <v>31275</v>
      </c>
      <c r="L170" s="5">
        <v>31275</v>
      </c>
      <c r="M170" s="16">
        <v>31275</v>
      </c>
      <c r="N170" s="5">
        <f t="shared" si="28"/>
        <v>0</v>
      </c>
    </row>
    <row r="171" spans="1:15" x14ac:dyDescent="0.3">
      <c r="A171" s="4">
        <v>7440</v>
      </c>
      <c r="B171" s="2" t="s">
        <v>100</v>
      </c>
      <c r="C171" s="5">
        <v>0</v>
      </c>
      <c r="D171" s="5">
        <f t="shared" ref="D171:D174" si="37">C171</f>
        <v>0</v>
      </c>
      <c r="E171" s="5">
        <f>D171</f>
        <v>0</v>
      </c>
      <c r="F171" s="5">
        <v>0</v>
      </c>
      <c r="G171" s="5">
        <v>0</v>
      </c>
      <c r="H171" s="5">
        <v>0</v>
      </c>
      <c r="I171" s="5">
        <v>0</v>
      </c>
      <c r="J171" s="5">
        <v>0</v>
      </c>
      <c r="K171" s="5">
        <v>0</v>
      </c>
      <c r="L171" s="5">
        <v>0</v>
      </c>
      <c r="M171" s="16">
        <v>0</v>
      </c>
      <c r="N171" s="5">
        <f t="shared" si="28"/>
        <v>0</v>
      </c>
    </row>
    <row r="172" spans="1:15" x14ac:dyDescent="0.3">
      <c r="A172" s="14">
        <v>7450</v>
      </c>
      <c r="B172" s="2" t="s">
        <v>101</v>
      </c>
      <c r="C172" s="5">
        <v>4100</v>
      </c>
      <c r="D172" s="5">
        <f t="shared" si="37"/>
        <v>4100</v>
      </c>
      <c r="E172" s="5">
        <f>D172</f>
        <v>4100</v>
      </c>
      <c r="F172" s="5">
        <v>4100</v>
      </c>
      <c r="G172" s="5">
        <v>4100</v>
      </c>
      <c r="H172" s="5">
        <v>2425.41</v>
      </c>
      <c r="I172" s="5">
        <v>4100</v>
      </c>
      <c r="J172" s="5">
        <v>4100</v>
      </c>
      <c r="K172" s="5">
        <v>4100</v>
      </c>
      <c r="L172" s="5">
        <v>4100</v>
      </c>
      <c r="M172" s="16">
        <v>4100</v>
      </c>
      <c r="N172" s="5">
        <f t="shared" si="28"/>
        <v>0</v>
      </c>
    </row>
    <row r="173" spans="1:15" ht="20.399999999999999" x14ac:dyDescent="0.3">
      <c r="A173" s="14">
        <v>7470</v>
      </c>
      <c r="B173" s="2" t="s">
        <v>102</v>
      </c>
      <c r="C173" s="5">
        <v>4500</v>
      </c>
      <c r="D173" s="5">
        <f t="shared" si="37"/>
        <v>4500</v>
      </c>
      <c r="E173" s="5">
        <f>D173</f>
        <v>4500</v>
      </c>
      <c r="F173" s="5">
        <v>4500</v>
      </c>
      <c r="G173" s="5">
        <v>4500</v>
      </c>
      <c r="H173" s="5">
        <v>3500</v>
      </c>
      <c r="I173" s="5">
        <v>4500</v>
      </c>
      <c r="J173" s="5">
        <v>4500</v>
      </c>
      <c r="K173" s="5">
        <v>4500</v>
      </c>
      <c r="L173" s="5">
        <v>4500</v>
      </c>
      <c r="M173" s="16">
        <v>4500</v>
      </c>
      <c r="N173" s="5">
        <f t="shared" si="28"/>
        <v>0</v>
      </c>
    </row>
    <row r="174" spans="1:15" ht="39.6" x14ac:dyDescent="0.3">
      <c r="A174" s="14">
        <v>7475</v>
      </c>
      <c r="B174" s="2" t="s">
        <v>103</v>
      </c>
      <c r="C174" s="5">
        <v>12000</v>
      </c>
      <c r="D174" s="5">
        <f t="shared" si="37"/>
        <v>12000</v>
      </c>
      <c r="E174" s="5">
        <v>10000</v>
      </c>
      <c r="F174" s="5">
        <f>E174</f>
        <v>10000</v>
      </c>
      <c r="G174" s="5">
        <v>10000</v>
      </c>
      <c r="H174" s="5">
        <v>10000</v>
      </c>
      <c r="I174" s="5">
        <v>6500</v>
      </c>
      <c r="J174" s="5">
        <v>6500</v>
      </c>
      <c r="K174" s="5">
        <v>10000</v>
      </c>
      <c r="L174" s="5">
        <v>10000</v>
      </c>
      <c r="M174" s="16">
        <v>10000</v>
      </c>
      <c r="N174" s="5">
        <f t="shared" si="28"/>
        <v>0</v>
      </c>
      <c r="O174" s="4" t="s">
        <v>236</v>
      </c>
    </row>
    <row r="175" spans="1:15" x14ac:dyDescent="0.3">
      <c r="A175" s="4"/>
      <c r="M175" s="16"/>
      <c r="N175" s="5">
        <f t="shared" si="28"/>
        <v>0</v>
      </c>
    </row>
    <row r="176" spans="1:15" x14ac:dyDescent="0.3">
      <c r="A176" s="4"/>
      <c r="B176" s="2" t="s">
        <v>104</v>
      </c>
      <c r="C176" s="3">
        <f t="shared" ref="C176:J176" si="38">SUM(C169:C174)</f>
        <v>51875</v>
      </c>
      <c r="D176" s="3">
        <f t="shared" si="38"/>
        <v>51875</v>
      </c>
      <c r="E176" s="3">
        <f t="shared" si="38"/>
        <v>49875</v>
      </c>
      <c r="F176" s="3">
        <f t="shared" si="38"/>
        <v>49875</v>
      </c>
      <c r="G176" s="3">
        <f t="shared" si="38"/>
        <v>49875</v>
      </c>
      <c r="H176" s="3">
        <f t="shared" si="38"/>
        <v>47200.41</v>
      </c>
      <c r="I176" s="3">
        <f t="shared" si="38"/>
        <v>46375</v>
      </c>
      <c r="J176" s="3">
        <f t="shared" si="38"/>
        <v>46375</v>
      </c>
      <c r="K176" s="3">
        <f>SUM(K169:K174)</f>
        <v>49875</v>
      </c>
      <c r="L176" s="3">
        <f>SUM(L169:L174)</f>
        <v>49875</v>
      </c>
      <c r="M176" s="18">
        <f>SUM(M169:M174)</f>
        <v>49875</v>
      </c>
      <c r="N176" s="5">
        <f t="shared" si="28"/>
        <v>0</v>
      </c>
    </row>
    <row r="177" spans="1:15" x14ac:dyDescent="0.3">
      <c r="A177" s="4"/>
      <c r="M177" s="16"/>
      <c r="N177" s="5">
        <f t="shared" si="28"/>
        <v>0</v>
      </c>
    </row>
    <row r="178" spans="1:15" x14ac:dyDescent="0.3">
      <c r="A178" s="4"/>
      <c r="B178" s="6" t="s">
        <v>105</v>
      </c>
      <c r="M178" s="16"/>
      <c r="N178" s="5">
        <f t="shared" si="28"/>
        <v>0</v>
      </c>
    </row>
    <row r="179" spans="1:15" x14ac:dyDescent="0.3">
      <c r="A179" s="4"/>
      <c r="M179" s="16"/>
      <c r="N179" s="5">
        <f t="shared" si="28"/>
        <v>0</v>
      </c>
    </row>
    <row r="180" spans="1:15" ht="20.399999999999999" x14ac:dyDescent="0.3">
      <c r="A180" s="4">
        <v>7610</v>
      </c>
      <c r="B180" s="2" t="s">
        <v>106</v>
      </c>
      <c r="C180" s="5">
        <f>234884.59+2500</f>
        <v>237384.59</v>
      </c>
      <c r="D180" s="5">
        <f>C180</f>
        <v>237384.59</v>
      </c>
      <c r="E180" s="5">
        <v>241510.5</v>
      </c>
      <c r="F180" s="5">
        <v>241510.5</v>
      </c>
      <c r="G180" s="5">
        <v>245797.9</v>
      </c>
      <c r="H180" s="5">
        <v>245797.9</v>
      </c>
      <c r="I180" s="5">
        <v>248010</v>
      </c>
      <c r="J180" s="5">
        <v>248010</v>
      </c>
      <c r="K180" s="5">
        <f>262379.73+2597.82</f>
        <v>264977.55</v>
      </c>
      <c r="L180" s="5">
        <f>262379.73+2597.82-6400</f>
        <v>258577.55</v>
      </c>
      <c r="M180" s="16">
        <f>255398.34+5000</f>
        <v>260398.34</v>
      </c>
      <c r="N180" s="5">
        <f t="shared" si="28"/>
        <v>1820.7900000000081</v>
      </c>
      <c r="O180" s="4" t="s">
        <v>277</v>
      </c>
    </row>
    <row r="181" spans="1:15" ht="39.6" x14ac:dyDescent="0.3">
      <c r="A181" s="14">
        <v>7630</v>
      </c>
      <c r="B181" s="4" t="s">
        <v>206</v>
      </c>
      <c r="F181" s="3"/>
      <c r="K181" s="5">
        <v>53673.2</v>
      </c>
      <c r="L181" s="5">
        <v>53673.2</v>
      </c>
      <c r="M181" s="16">
        <f>SUM(M182:M186)</f>
        <v>195443.19999999998</v>
      </c>
      <c r="N181" s="5">
        <f t="shared" si="28"/>
        <v>141770</v>
      </c>
      <c r="O181" s="4" t="s">
        <v>290</v>
      </c>
    </row>
    <row r="182" spans="1:15" x14ac:dyDescent="0.3">
      <c r="A182" s="14">
        <v>7631</v>
      </c>
      <c r="B182" s="4" t="s">
        <v>239</v>
      </c>
      <c r="F182" s="3"/>
      <c r="M182" s="16"/>
      <c r="N182" s="5">
        <f t="shared" si="28"/>
        <v>0</v>
      </c>
    </row>
    <row r="183" spans="1:15" ht="20.399999999999999" x14ac:dyDescent="0.3">
      <c r="A183" s="14">
        <v>7632</v>
      </c>
      <c r="B183" s="4" t="s">
        <v>240</v>
      </c>
      <c r="F183" s="3"/>
      <c r="M183" s="16">
        <f>29000-4969.23</f>
        <v>24030.77</v>
      </c>
      <c r="N183" s="5">
        <f t="shared" si="28"/>
        <v>24030.77</v>
      </c>
      <c r="O183" s="4" t="s">
        <v>258</v>
      </c>
    </row>
    <row r="184" spans="1:15" x14ac:dyDescent="0.3">
      <c r="A184" s="14">
        <v>7633</v>
      </c>
      <c r="B184" s="4" t="s">
        <v>241</v>
      </c>
      <c r="F184" s="3"/>
      <c r="M184" s="16"/>
      <c r="N184" s="5">
        <f t="shared" si="28"/>
        <v>0</v>
      </c>
    </row>
    <row r="185" spans="1:15" ht="20.399999999999999" x14ac:dyDescent="0.3">
      <c r="A185" s="14">
        <v>7634</v>
      </c>
      <c r="B185" s="4" t="s">
        <v>242</v>
      </c>
      <c r="F185" s="3"/>
      <c r="M185" s="16">
        <f>34878+11974.22-3936.7-503.09+100000</f>
        <v>142412.43</v>
      </c>
      <c r="N185" s="5">
        <f t="shared" si="28"/>
        <v>142412.43</v>
      </c>
      <c r="O185" s="4" t="s">
        <v>280</v>
      </c>
    </row>
    <row r="186" spans="1:15" ht="30" x14ac:dyDescent="0.3">
      <c r="A186" s="14">
        <v>7635</v>
      </c>
      <c r="B186" s="4" t="s">
        <v>243</v>
      </c>
      <c r="F186" s="3"/>
      <c r="M186" s="16">
        <v>29000</v>
      </c>
      <c r="N186" s="5">
        <f t="shared" si="28"/>
        <v>29000</v>
      </c>
      <c r="O186" s="4" t="s">
        <v>259</v>
      </c>
    </row>
    <row r="187" spans="1:15" x14ac:dyDescent="0.3">
      <c r="A187" s="14">
        <v>7650</v>
      </c>
      <c r="B187" s="4" t="s">
        <v>107</v>
      </c>
      <c r="F187" s="3"/>
      <c r="K187" s="5">
        <f>SUM(K188:K191)</f>
        <v>237066.11000000002</v>
      </c>
      <c r="L187" s="5">
        <f>SUM(L188:L191)</f>
        <v>243466.11000000002</v>
      </c>
      <c r="M187" s="16">
        <f>SUM(M188:M191)</f>
        <v>131649.47999999998</v>
      </c>
      <c r="N187" s="5">
        <f t="shared" si="28"/>
        <v>-111816.63000000003</v>
      </c>
    </row>
    <row r="188" spans="1:15" ht="30" x14ac:dyDescent="0.3">
      <c r="A188" s="14">
        <v>7651</v>
      </c>
      <c r="B188" s="4" t="s">
        <v>108</v>
      </c>
      <c r="C188" s="5">
        <v>202022</v>
      </c>
      <c r="D188" s="5">
        <f t="shared" ref="D188:D191" si="39">C188</f>
        <v>202022</v>
      </c>
      <c r="E188" s="5">
        <v>208699</v>
      </c>
      <c r="F188" s="5">
        <v>208699</v>
      </c>
      <c r="G188" s="5">
        <v>213505</v>
      </c>
      <c r="H188" s="5">
        <v>213505</v>
      </c>
      <c r="I188" s="5">
        <v>217461.5</v>
      </c>
      <c r="J188" s="5">
        <v>217461.5</v>
      </c>
      <c r="K188" s="5">
        <f>14353.57*5+14784.18*7+1729*12+1296.75*12+11000</f>
        <v>222566.11000000002</v>
      </c>
      <c r="L188" s="5">
        <f>14353.57*5+14784.18*7+1729*12+1296.75*12+11000</f>
        <v>222566.11000000002</v>
      </c>
      <c r="M188" s="16">
        <v>94549.48</v>
      </c>
      <c r="N188" s="5">
        <f t="shared" si="28"/>
        <v>-128016.63000000002</v>
      </c>
      <c r="O188" s="4" t="s">
        <v>252</v>
      </c>
    </row>
    <row r="189" spans="1:15" ht="20.399999999999999" x14ac:dyDescent="0.3">
      <c r="A189" s="14">
        <v>7652</v>
      </c>
      <c r="B189" s="2" t="s">
        <v>109</v>
      </c>
      <c r="C189" s="5">
        <v>15000</v>
      </c>
      <c r="D189" s="5">
        <f t="shared" si="39"/>
        <v>15000</v>
      </c>
      <c r="E189" s="5">
        <v>15000</v>
      </c>
      <c r="F189" s="5">
        <v>15000</v>
      </c>
      <c r="G189" s="5">
        <v>14000</v>
      </c>
      <c r="H189" s="5">
        <v>14000</v>
      </c>
      <c r="I189" s="5">
        <f>13000-268.33</f>
        <v>12731.67</v>
      </c>
      <c r="J189" s="5">
        <v>12731.67</v>
      </c>
      <c r="K189" s="5">
        <v>12500</v>
      </c>
      <c r="L189" s="5">
        <v>12500</v>
      </c>
      <c r="M189" s="16">
        <v>15000</v>
      </c>
      <c r="N189" s="5">
        <f t="shared" si="28"/>
        <v>2500</v>
      </c>
      <c r="O189" s="4" t="s">
        <v>253</v>
      </c>
    </row>
    <row r="190" spans="1:15" x14ac:dyDescent="0.3">
      <c r="A190" s="4">
        <v>7653</v>
      </c>
      <c r="B190" s="2" t="s">
        <v>110</v>
      </c>
      <c r="C190" s="5">
        <v>9682.5</v>
      </c>
      <c r="D190" s="5">
        <f t="shared" si="39"/>
        <v>9682.5</v>
      </c>
      <c r="E190" s="5">
        <v>9800</v>
      </c>
      <c r="F190" s="5">
        <v>9800</v>
      </c>
      <c r="G190" s="5">
        <v>9800</v>
      </c>
      <c r="H190" s="5">
        <f>9800-479.5</f>
        <v>9320.5</v>
      </c>
      <c r="I190" s="5">
        <v>10300</v>
      </c>
      <c r="J190" s="5">
        <v>7500</v>
      </c>
      <c r="K190" s="5">
        <v>0</v>
      </c>
      <c r="L190" s="5">
        <v>6400</v>
      </c>
      <c r="M190" s="16">
        <v>19600</v>
      </c>
      <c r="N190" s="5">
        <f t="shared" si="28"/>
        <v>13200</v>
      </c>
      <c r="O190" s="4" t="s">
        <v>251</v>
      </c>
    </row>
    <row r="191" spans="1:15" x14ac:dyDescent="0.3">
      <c r="A191" s="14">
        <v>7654</v>
      </c>
      <c r="B191" s="2" t="s">
        <v>111</v>
      </c>
      <c r="C191" s="5">
        <v>1000</v>
      </c>
      <c r="D191" s="5">
        <f t="shared" si="39"/>
        <v>1000</v>
      </c>
      <c r="E191" s="5">
        <v>1000</v>
      </c>
      <c r="F191" s="3">
        <v>1000</v>
      </c>
      <c r="G191" s="5">
        <v>1750</v>
      </c>
      <c r="H191" s="5">
        <v>1750</v>
      </c>
      <c r="I191" s="5">
        <v>2660</v>
      </c>
      <c r="J191" s="5">
        <v>2660</v>
      </c>
      <c r="K191" s="5">
        <v>2000</v>
      </c>
      <c r="L191" s="5">
        <v>2000</v>
      </c>
      <c r="M191" s="16">
        <v>2500</v>
      </c>
      <c r="N191" s="5">
        <f t="shared" si="28"/>
        <v>500</v>
      </c>
      <c r="O191" s="11" t="s">
        <v>254</v>
      </c>
    </row>
    <row r="192" spans="1:15" x14ac:dyDescent="0.3">
      <c r="A192" s="4">
        <v>7655</v>
      </c>
      <c r="B192" s="2" t="s">
        <v>112</v>
      </c>
      <c r="C192" s="3">
        <f t="shared" ref="C192:K192" si="40">SUM(C193:C193)</f>
        <v>3000</v>
      </c>
      <c r="D192" s="3">
        <f t="shared" si="40"/>
        <v>3000</v>
      </c>
      <c r="E192" s="3">
        <f t="shared" si="40"/>
        <v>3000</v>
      </c>
      <c r="F192" s="5">
        <f t="shared" si="40"/>
        <v>3000</v>
      </c>
      <c r="G192" s="3">
        <f t="shared" si="40"/>
        <v>4500</v>
      </c>
      <c r="H192" s="3">
        <f t="shared" si="40"/>
        <v>4500</v>
      </c>
      <c r="I192" s="3">
        <f t="shared" si="40"/>
        <v>4500</v>
      </c>
      <c r="J192" s="3">
        <f t="shared" si="40"/>
        <v>2000</v>
      </c>
      <c r="K192" s="3">
        <f t="shared" si="40"/>
        <v>2000</v>
      </c>
      <c r="L192" s="3">
        <f t="shared" ref="L192:M192" si="41">SUM(L193:L193)</f>
        <v>3000</v>
      </c>
      <c r="M192" s="18">
        <f t="shared" si="41"/>
        <v>3000</v>
      </c>
      <c r="N192" s="5">
        <f t="shared" si="28"/>
        <v>0</v>
      </c>
    </row>
    <row r="193" spans="1:15" x14ac:dyDescent="0.3">
      <c r="A193" s="4">
        <v>7656</v>
      </c>
      <c r="B193" s="2" t="s">
        <v>113</v>
      </c>
      <c r="C193" s="5">
        <v>3000</v>
      </c>
      <c r="D193" s="5">
        <f>C193</f>
        <v>3000</v>
      </c>
      <c r="E193" s="5">
        <v>3000</v>
      </c>
      <c r="F193" s="5">
        <v>3000</v>
      </c>
      <c r="G193" s="5">
        <v>4500</v>
      </c>
      <c r="H193" s="5">
        <v>4500</v>
      </c>
      <c r="I193" s="5">
        <v>4500</v>
      </c>
      <c r="J193" s="5">
        <v>2000</v>
      </c>
      <c r="K193" s="5">
        <v>2000</v>
      </c>
      <c r="L193" s="5">
        <v>3000</v>
      </c>
      <c r="M193" s="16">
        <v>3000</v>
      </c>
      <c r="N193" s="5">
        <f t="shared" si="28"/>
        <v>0</v>
      </c>
    </row>
    <row r="194" spans="1:15" ht="49.2" x14ac:dyDescent="0.3">
      <c r="A194" s="4">
        <v>7658</v>
      </c>
      <c r="B194" s="2" t="s">
        <v>244</v>
      </c>
      <c r="M194" s="16">
        <v>0</v>
      </c>
      <c r="N194" s="5">
        <f t="shared" si="28"/>
        <v>0</v>
      </c>
      <c r="O194" s="4" t="s">
        <v>275</v>
      </c>
    </row>
    <row r="195" spans="1:15" ht="39.6" x14ac:dyDescent="0.3">
      <c r="A195" s="4">
        <v>7659</v>
      </c>
      <c r="B195" s="2" t="s">
        <v>271</v>
      </c>
      <c r="M195" s="16">
        <v>140739.72</v>
      </c>
      <c r="N195" s="5">
        <f t="shared" si="28"/>
        <v>140739.72</v>
      </c>
      <c r="O195" s="4" t="s">
        <v>274</v>
      </c>
    </row>
    <row r="196" spans="1:15" x14ac:dyDescent="0.3">
      <c r="A196" s="4"/>
      <c r="B196" s="2" t="s">
        <v>278</v>
      </c>
      <c r="M196" s="16">
        <v>21503.09</v>
      </c>
      <c r="O196" s="4" t="s">
        <v>279</v>
      </c>
    </row>
    <row r="197" spans="1:15" x14ac:dyDescent="0.3">
      <c r="A197" s="4">
        <v>7666</v>
      </c>
      <c r="B197" s="2" t="s">
        <v>114</v>
      </c>
      <c r="C197" s="5">
        <v>0</v>
      </c>
      <c r="D197" s="5">
        <f>C197</f>
        <v>0</v>
      </c>
      <c r="E197" s="5">
        <v>0</v>
      </c>
      <c r="F197" s="5">
        <v>0</v>
      </c>
      <c r="G197" s="5">
        <v>0</v>
      </c>
      <c r="H197" s="5">
        <v>0</v>
      </c>
      <c r="I197" s="5">
        <v>0</v>
      </c>
      <c r="J197" s="5">
        <v>0</v>
      </c>
      <c r="K197" s="5">
        <v>0</v>
      </c>
      <c r="L197" s="5">
        <v>0</v>
      </c>
      <c r="M197" s="16">
        <v>0</v>
      </c>
      <c r="N197" s="5">
        <f t="shared" si="28"/>
        <v>0</v>
      </c>
    </row>
    <row r="198" spans="1:15" x14ac:dyDescent="0.3">
      <c r="A198" s="4">
        <v>7670</v>
      </c>
      <c r="B198" s="2" t="s">
        <v>115</v>
      </c>
      <c r="C198" s="3">
        <f t="shared" ref="C198:E198" si="42">SUM(C199:C200)</f>
        <v>12700</v>
      </c>
      <c r="D198" s="3">
        <f t="shared" si="42"/>
        <v>12700</v>
      </c>
      <c r="E198" s="3">
        <f t="shared" si="42"/>
        <v>12450</v>
      </c>
      <c r="F198" s="5">
        <f t="shared" ref="F198" si="43">SUM(F199:F200)</f>
        <v>12450</v>
      </c>
      <c r="G198" s="3">
        <f>SUM(G199:G200)</f>
        <v>12300</v>
      </c>
      <c r="H198" s="3">
        <f>SUM(H199:H200)</f>
        <v>12300</v>
      </c>
      <c r="I198" s="3">
        <f>SUM(I199:I200)</f>
        <v>13845</v>
      </c>
      <c r="J198" s="3">
        <f t="shared" ref="J198" si="44">SUM(J199:J200)</f>
        <v>13845</v>
      </c>
      <c r="K198" s="3">
        <f>SUM(K199:K200)</f>
        <v>14975</v>
      </c>
      <c r="L198" s="3">
        <f t="shared" ref="L198:M198" si="45">SUM(L199:L200)</f>
        <v>14975</v>
      </c>
      <c r="M198" s="18">
        <f t="shared" si="45"/>
        <v>15000</v>
      </c>
      <c r="N198" s="5">
        <f t="shared" si="28"/>
        <v>25</v>
      </c>
    </row>
    <row r="199" spans="1:15" ht="20.399999999999999" x14ac:dyDescent="0.3">
      <c r="A199" s="4">
        <v>7672</v>
      </c>
      <c r="B199" s="2" t="s">
        <v>116</v>
      </c>
      <c r="C199" s="5">
        <v>9700</v>
      </c>
      <c r="D199" s="5">
        <f>C199</f>
        <v>9700</v>
      </c>
      <c r="E199" s="5">
        <v>9700</v>
      </c>
      <c r="F199" s="5">
        <v>9700</v>
      </c>
      <c r="G199" s="5">
        <v>9500</v>
      </c>
      <c r="H199" s="5">
        <v>9500</v>
      </c>
      <c r="I199" s="5">
        <v>10630</v>
      </c>
      <c r="J199" s="5">
        <v>10630</v>
      </c>
      <c r="K199" s="5">
        <v>11475</v>
      </c>
      <c r="L199" s="5">
        <v>11475</v>
      </c>
      <c r="M199" s="16">
        <v>11400</v>
      </c>
      <c r="N199" s="5">
        <f t="shared" si="28"/>
        <v>-75</v>
      </c>
      <c r="O199" s="4" t="s">
        <v>255</v>
      </c>
    </row>
    <row r="200" spans="1:15" x14ac:dyDescent="0.3">
      <c r="A200" s="4">
        <v>7673</v>
      </c>
      <c r="B200" s="2" t="s">
        <v>117</v>
      </c>
      <c r="C200" s="5">
        <v>3000</v>
      </c>
      <c r="D200" s="5">
        <f>C200</f>
        <v>3000</v>
      </c>
      <c r="E200" s="5">
        <v>2750</v>
      </c>
      <c r="F200" s="3">
        <v>2750</v>
      </c>
      <c r="G200" s="5">
        <v>2800</v>
      </c>
      <c r="H200" s="5">
        <v>2800</v>
      </c>
      <c r="I200" s="5">
        <v>3215</v>
      </c>
      <c r="J200" s="5">
        <v>3215</v>
      </c>
      <c r="K200" s="5">
        <v>3500</v>
      </c>
      <c r="L200" s="5">
        <v>3500</v>
      </c>
      <c r="M200" s="16">
        <v>3600</v>
      </c>
      <c r="N200" s="5">
        <f t="shared" si="28"/>
        <v>100</v>
      </c>
      <c r="O200" s="4" t="s">
        <v>256</v>
      </c>
    </row>
    <row r="201" spans="1:15" x14ac:dyDescent="0.3">
      <c r="A201" s="4">
        <v>7680</v>
      </c>
      <c r="B201" s="2" t="s">
        <v>118</v>
      </c>
      <c r="C201" s="5">
        <v>800</v>
      </c>
      <c r="D201" s="5">
        <f>C201</f>
        <v>800</v>
      </c>
      <c r="E201" s="5">
        <v>800</v>
      </c>
      <c r="F201" s="5">
        <v>800</v>
      </c>
      <c r="G201" s="5">
        <v>800</v>
      </c>
      <c r="H201" s="5">
        <v>800</v>
      </c>
      <c r="I201" s="5">
        <v>1000</v>
      </c>
      <c r="J201" s="5">
        <v>1000</v>
      </c>
      <c r="K201" s="5">
        <v>800</v>
      </c>
      <c r="L201" s="5">
        <v>800</v>
      </c>
      <c r="M201" s="16">
        <v>800</v>
      </c>
      <c r="N201" s="5">
        <f t="shared" ref="N201:N264" si="46">M201-L201</f>
        <v>0</v>
      </c>
    </row>
    <row r="202" spans="1:15" x14ac:dyDescent="0.3">
      <c r="A202" s="4">
        <v>7681</v>
      </c>
      <c r="B202" s="2" t="s">
        <v>119</v>
      </c>
      <c r="M202" s="16"/>
      <c r="N202" s="5">
        <f t="shared" si="46"/>
        <v>0</v>
      </c>
    </row>
    <row r="203" spans="1:15" x14ac:dyDescent="0.3">
      <c r="A203" s="4">
        <v>7682</v>
      </c>
      <c r="B203" s="2" t="s">
        <v>120</v>
      </c>
      <c r="M203" s="16"/>
      <c r="N203" s="5">
        <f t="shared" si="46"/>
        <v>0</v>
      </c>
    </row>
    <row r="204" spans="1:15" ht="20.399999999999999" x14ac:dyDescent="0.3">
      <c r="A204" s="14">
        <v>7685</v>
      </c>
      <c r="B204" s="4" t="s">
        <v>207</v>
      </c>
      <c r="F204" s="3"/>
      <c r="K204" s="5">
        <v>100000</v>
      </c>
      <c r="L204" s="5">
        <v>100000</v>
      </c>
      <c r="M204" s="16">
        <v>0</v>
      </c>
      <c r="N204" s="5">
        <f t="shared" si="46"/>
        <v>-100000</v>
      </c>
      <c r="O204" s="4" t="s">
        <v>291</v>
      </c>
    </row>
    <row r="205" spans="1:15" ht="20.399999999999999" x14ac:dyDescent="0.3">
      <c r="A205" s="4">
        <v>7690</v>
      </c>
      <c r="B205" s="2" t="s">
        <v>121</v>
      </c>
      <c r="C205" s="5">
        <v>4800</v>
      </c>
      <c r="D205" s="5">
        <f>C205</f>
        <v>4800</v>
      </c>
      <c r="E205" s="5">
        <v>4775</v>
      </c>
      <c r="F205" s="5">
        <v>4775</v>
      </c>
      <c r="G205" s="5">
        <v>4700</v>
      </c>
      <c r="H205" s="5">
        <v>2000</v>
      </c>
      <c r="I205" s="5">
        <v>3700</v>
      </c>
      <c r="J205" s="5">
        <v>1000</v>
      </c>
      <c r="K205" s="5">
        <v>3000</v>
      </c>
      <c r="L205" s="5">
        <v>1625</v>
      </c>
      <c r="M205" s="16">
        <v>3000</v>
      </c>
      <c r="N205" s="5">
        <f t="shared" si="46"/>
        <v>1375</v>
      </c>
      <c r="O205" s="11" t="s">
        <v>292</v>
      </c>
    </row>
    <row r="206" spans="1:15" x14ac:dyDescent="0.3">
      <c r="A206" s="4">
        <v>7700</v>
      </c>
      <c r="B206" s="2" t="s">
        <v>122</v>
      </c>
      <c r="C206" s="3">
        <f t="shared" ref="C206:E206" si="47">SUM(C207:C210)</f>
        <v>610754.84000000008</v>
      </c>
      <c r="D206" s="3">
        <f t="shared" si="47"/>
        <v>618694.84000000008</v>
      </c>
      <c r="E206" s="3">
        <f t="shared" si="47"/>
        <v>642579.81000000006</v>
      </c>
      <c r="F206" s="5">
        <f t="shared" ref="F206" si="48">SUM(F207:F210)</f>
        <v>642579.81000000006</v>
      </c>
      <c r="G206" s="3">
        <f t="shared" ref="G206:M206" si="49">SUM(G207:G210)</f>
        <v>623860.24999999988</v>
      </c>
      <c r="H206" s="3">
        <f t="shared" si="49"/>
        <v>623860.24999999988</v>
      </c>
      <c r="I206" s="3">
        <f t="shared" si="49"/>
        <v>649265</v>
      </c>
      <c r="J206" s="3">
        <f t="shared" si="49"/>
        <v>708500</v>
      </c>
      <c r="K206" s="3">
        <f t="shared" si="49"/>
        <v>765507.95000000007</v>
      </c>
      <c r="L206" s="3">
        <f t="shared" si="49"/>
        <v>765507.95000000007</v>
      </c>
      <c r="M206" s="18">
        <f t="shared" si="49"/>
        <v>753565.11</v>
      </c>
      <c r="N206" s="5">
        <f t="shared" si="46"/>
        <v>-11942.840000000084</v>
      </c>
    </row>
    <row r="207" spans="1:15" x14ac:dyDescent="0.3">
      <c r="A207" s="4">
        <v>7701</v>
      </c>
      <c r="B207" s="2" t="s">
        <v>123</v>
      </c>
      <c r="C207" s="5">
        <f>40786.86+57967.02+82043.21+33850.08+22301.74+30450.54+40441.67+1899.98+250541.9</f>
        <v>560283</v>
      </c>
      <c r="D207" s="5">
        <f>C207+7400</f>
        <v>567683</v>
      </c>
      <c r="E207" s="5">
        <v>588617.81000000006</v>
      </c>
      <c r="F207" s="5">
        <v>588617.81000000006</v>
      </c>
      <c r="G207" s="5">
        <v>564834.81999999995</v>
      </c>
      <c r="H207" s="5">
        <v>564834.81999999995</v>
      </c>
      <c r="I207" s="5">
        <v>588738</v>
      </c>
      <c r="J207" s="5">
        <v>644000</v>
      </c>
      <c r="K207" s="5">
        <f>693330.02+12760</f>
        <v>706090.02</v>
      </c>
      <c r="L207" s="5">
        <f>693330.02+12760</f>
        <v>706090.02</v>
      </c>
      <c r="M207" s="16">
        <v>691734.95</v>
      </c>
      <c r="N207" s="5">
        <f t="shared" si="46"/>
        <v>-14355.070000000065</v>
      </c>
      <c r="O207" s="11" t="s">
        <v>293</v>
      </c>
    </row>
    <row r="208" spans="1:15" ht="20.399999999999999" x14ac:dyDescent="0.3">
      <c r="A208" s="4">
        <v>7702</v>
      </c>
      <c r="B208" s="2" t="s">
        <v>124</v>
      </c>
      <c r="C208" s="5">
        <v>0</v>
      </c>
      <c r="D208" s="5">
        <v>0</v>
      </c>
      <c r="E208" s="5">
        <v>0</v>
      </c>
      <c r="F208" s="5">
        <v>0</v>
      </c>
      <c r="G208" s="5">
        <v>0</v>
      </c>
      <c r="H208" s="5">
        <v>0</v>
      </c>
      <c r="I208" s="5">
        <v>0</v>
      </c>
      <c r="J208" s="5">
        <v>0</v>
      </c>
      <c r="K208" s="5">
        <v>0</v>
      </c>
      <c r="L208" s="5">
        <v>0</v>
      </c>
      <c r="M208" s="16">
        <v>0</v>
      </c>
      <c r="N208" s="5">
        <f t="shared" si="46"/>
        <v>0</v>
      </c>
      <c r="O208" s="11" t="s">
        <v>294</v>
      </c>
    </row>
    <row r="209" spans="1:15" x14ac:dyDescent="0.3">
      <c r="A209" s="4">
        <v>7703</v>
      </c>
      <c r="B209" s="2" t="s">
        <v>125</v>
      </c>
      <c r="C209" s="5">
        <v>39560.53</v>
      </c>
      <c r="D209" s="5">
        <f>C209+457</f>
        <v>40017.53</v>
      </c>
      <c r="E209" s="5">
        <v>42169.67</v>
      </c>
      <c r="F209" s="5">
        <v>42169.67</v>
      </c>
      <c r="G209" s="5">
        <v>46637.08</v>
      </c>
      <c r="H209" s="5">
        <v>46637.08</v>
      </c>
      <c r="I209" s="5">
        <v>46638</v>
      </c>
      <c r="J209" s="5">
        <v>48500</v>
      </c>
      <c r="K209" s="5">
        <v>43533.03</v>
      </c>
      <c r="L209" s="5">
        <v>43533.03</v>
      </c>
      <c r="M209" s="16">
        <v>44742.3</v>
      </c>
      <c r="N209" s="5">
        <f t="shared" si="46"/>
        <v>1209.2700000000041</v>
      </c>
      <c r="O209" s="11" t="s">
        <v>293</v>
      </c>
    </row>
    <row r="210" spans="1:15" x14ac:dyDescent="0.3">
      <c r="A210" s="4">
        <v>7704</v>
      </c>
      <c r="B210" s="2" t="s">
        <v>126</v>
      </c>
      <c r="C210" s="5">
        <v>10911.31</v>
      </c>
      <c r="D210" s="5">
        <f>C210+83</f>
        <v>10994.31</v>
      </c>
      <c r="E210" s="5">
        <v>11792.33</v>
      </c>
      <c r="F210" s="5">
        <v>11792.33</v>
      </c>
      <c r="G210" s="5">
        <v>12388.35</v>
      </c>
      <c r="H210" s="5">
        <v>12388.35</v>
      </c>
      <c r="I210" s="5">
        <v>13889</v>
      </c>
      <c r="J210" s="5">
        <v>16000</v>
      </c>
      <c r="K210" s="5">
        <v>15884.9</v>
      </c>
      <c r="L210" s="5">
        <v>15884.9</v>
      </c>
      <c r="M210" s="16">
        <v>17087.86</v>
      </c>
      <c r="N210" s="5">
        <f t="shared" si="46"/>
        <v>1202.9600000000009</v>
      </c>
      <c r="O210" s="11" t="s">
        <v>295</v>
      </c>
    </row>
    <row r="211" spans="1:15" x14ac:dyDescent="0.3">
      <c r="A211" s="4">
        <v>7710</v>
      </c>
      <c r="B211" s="2" t="s">
        <v>127</v>
      </c>
      <c r="C211" s="5">
        <v>180243</v>
      </c>
      <c r="D211" s="5">
        <f>C211+2855</f>
        <v>183098</v>
      </c>
      <c r="E211" s="5">
        <v>192298.13</v>
      </c>
      <c r="F211" s="5">
        <v>192298.13</v>
      </c>
      <c r="G211" s="5">
        <v>186831.11</v>
      </c>
      <c r="H211" s="5">
        <v>186831.11</v>
      </c>
      <c r="I211" s="5">
        <v>197652</v>
      </c>
      <c r="J211" s="5">
        <v>183700</v>
      </c>
      <c r="K211" s="5">
        <f>193089.66+1910.7</f>
        <v>195000.36000000002</v>
      </c>
      <c r="L211" s="5">
        <f>193089.66+1910.7</f>
        <v>195000.36000000002</v>
      </c>
      <c r="M211" s="16">
        <v>190571.77</v>
      </c>
      <c r="N211" s="5">
        <f t="shared" si="46"/>
        <v>-4428.5900000000256</v>
      </c>
      <c r="O211" s="11" t="s">
        <v>296</v>
      </c>
    </row>
    <row r="212" spans="1:15" ht="20.399999999999999" x14ac:dyDescent="0.3">
      <c r="A212" s="4">
        <v>7720</v>
      </c>
      <c r="B212" s="2" t="s">
        <v>128</v>
      </c>
      <c r="C212" s="5">
        <v>196979</v>
      </c>
      <c r="D212" s="5">
        <f>C212+2445+1553</f>
        <v>200977</v>
      </c>
      <c r="E212" s="5">
        <v>210154.39</v>
      </c>
      <c r="F212" s="5">
        <v>210154.39</v>
      </c>
      <c r="G212" s="5">
        <v>213322.08</v>
      </c>
      <c r="H212" s="5">
        <v>213322.08</v>
      </c>
      <c r="I212" s="5">
        <v>216005</v>
      </c>
      <c r="J212" s="5">
        <v>211000</v>
      </c>
      <c r="K212" s="5">
        <f>218834.94+2166.66</f>
        <v>221001.60000000001</v>
      </c>
      <c r="L212" s="5">
        <f>218834.94+2166.66</f>
        <v>221001.60000000001</v>
      </c>
      <c r="M212" s="16">
        <v>215981.34</v>
      </c>
      <c r="N212" s="5">
        <f t="shared" si="46"/>
        <v>-5020.2600000000093</v>
      </c>
    </row>
    <row r="213" spans="1:15" ht="30" x14ac:dyDescent="0.3">
      <c r="A213" s="4">
        <v>7730</v>
      </c>
      <c r="B213" s="2" t="s">
        <v>129</v>
      </c>
      <c r="C213" s="5">
        <v>19000</v>
      </c>
      <c r="D213" s="5">
        <f>C213</f>
        <v>19000</v>
      </c>
      <c r="E213" s="5">
        <v>16930</v>
      </c>
      <c r="F213" s="5">
        <v>16930</v>
      </c>
      <c r="G213" s="5">
        <v>11658</v>
      </c>
      <c r="H213" s="5">
        <v>11658</v>
      </c>
      <c r="I213" s="5">
        <v>12147</v>
      </c>
      <c r="J213" s="5">
        <v>12147</v>
      </c>
      <c r="K213" s="5">
        <v>13990</v>
      </c>
      <c r="L213" s="5">
        <v>19490</v>
      </c>
      <c r="M213" s="16">
        <v>19000</v>
      </c>
      <c r="N213" s="5">
        <f t="shared" si="46"/>
        <v>-490</v>
      </c>
      <c r="O213" s="4" t="s">
        <v>257</v>
      </c>
    </row>
    <row r="214" spans="1:15" x14ac:dyDescent="0.3">
      <c r="A214" s="4">
        <v>7735</v>
      </c>
      <c r="B214" s="2" t="s">
        <v>130</v>
      </c>
      <c r="C214" s="5">
        <f>2000-576.22+1354.03-773.73</f>
        <v>2004.08</v>
      </c>
      <c r="D214" s="5">
        <f>C214-0.03</f>
        <v>2004.05</v>
      </c>
      <c r="E214" s="5">
        <v>2500</v>
      </c>
      <c r="F214" s="5">
        <v>2500</v>
      </c>
      <c r="G214" s="5">
        <v>2000</v>
      </c>
      <c r="H214" s="5">
        <v>2000</v>
      </c>
      <c r="I214" s="5">
        <v>500</v>
      </c>
      <c r="J214" s="5">
        <v>500</v>
      </c>
      <c r="K214" s="5">
        <v>1000</v>
      </c>
      <c r="L214" s="5">
        <v>1000</v>
      </c>
      <c r="M214" s="16">
        <v>0</v>
      </c>
      <c r="N214" s="5">
        <f t="shared" si="46"/>
        <v>-1000</v>
      </c>
    </row>
    <row r="215" spans="1:15" x14ac:dyDescent="0.3">
      <c r="A215" s="4">
        <v>7740</v>
      </c>
      <c r="B215" s="2" t="s">
        <v>131</v>
      </c>
      <c r="C215" s="5">
        <v>19000</v>
      </c>
      <c r="D215" s="5">
        <f t="shared" ref="D215:D218" si="50">C215</f>
        <v>19000</v>
      </c>
      <c r="E215" s="5">
        <v>19000</v>
      </c>
      <c r="F215" s="5">
        <v>19000</v>
      </c>
      <c r="G215" s="5">
        <v>19000</v>
      </c>
      <c r="H215" s="5">
        <v>19000</v>
      </c>
      <c r="I215" s="5">
        <v>19000</v>
      </c>
      <c r="J215" s="5">
        <v>19000</v>
      </c>
      <c r="K215" s="5">
        <v>19000</v>
      </c>
      <c r="L215" s="5">
        <v>23775</v>
      </c>
      <c r="M215" s="16">
        <v>22000</v>
      </c>
      <c r="N215" s="5">
        <f t="shared" si="46"/>
        <v>-1775</v>
      </c>
    </row>
    <row r="216" spans="1:15" ht="30" x14ac:dyDescent="0.3">
      <c r="A216" s="4">
        <v>7745</v>
      </c>
      <c r="B216" s="2" t="s">
        <v>132</v>
      </c>
      <c r="C216" s="5">
        <v>13122</v>
      </c>
      <c r="D216" s="5">
        <f t="shared" si="50"/>
        <v>13122</v>
      </c>
      <c r="E216" s="5">
        <f>1000+122+13650+16000+7425-8344.74</f>
        <v>29852.260000000002</v>
      </c>
      <c r="F216" s="5">
        <f>1000+122+13650+16000+7425-8344.74</f>
        <v>29852.260000000002</v>
      </c>
      <c r="G216" s="5">
        <v>24547</v>
      </c>
      <c r="H216" s="5">
        <v>24547</v>
      </c>
      <c r="I216" s="5">
        <v>18697</v>
      </c>
      <c r="J216" s="5">
        <f>I216+1200</f>
        <v>19897</v>
      </c>
      <c r="K216" s="5">
        <f>I216+2400</f>
        <v>21097</v>
      </c>
      <c r="L216" s="5">
        <v>21097</v>
      </c>
      <c r="M216" s="16">
        <v>21097</v>
      </c>
      <c r="N216" s="5">
        <f t="shared" si="46"/>
        <v>0</v>
      </c>
      <c r="O216" s="12" t="s">
        <v>216</v>
      </c>
    </row>
    <row r="217" spans="1:15" x14ac:dyDescent="0.3">
      <c r="A217" s="4">
        <v>7750</v>
      </c>
      <c r="B217" s="2" t="s">
        <v>133</v>
      </c>
      <c r="C217" s="5">
        <v>8500</v>
      </c>
      <c r="D217" s="5">
        <f t="shared" si="50"/>
        <v>8500</v>
      </c>
      <c r="E217" s="5">
        <v>8500</v>
      </c>
      <c r="F217" s="5">
        <v>8500</v>
      </c>
      <c r="G217" s="5">
        <v>9300</v>
      </c>
      <c r="H217" s="5">
        <v>9300</v>
      </c>
      <c r="I217" s="5">
        <v>9000</v>
      </c>
      <c r="J217" s="5">
        <v>9000</v>
      </c>
      <c r="K217" s="5">
        <v>9000</v>
      </c>
      <c r="L217" s="5">
        <v>9000</v>
      </c>
      <c r="M217" s="16">
        <v>9200</v>
      </c>
      <c r="N217" s="5">
        <f t="shared" si="46"/>
        <v>200</v>
      </c>
    </row>
    <row r="218" spans="1:15" ht="20.399999999999999" x14ac:dyDescent="0.3">
      <c r="A218" s="4">
        <v>7751</v>
      </c>
      <c r="B218" s="2" t="s">
        <v>134</v>
      </c>
      <c r="C218" s="5">
        <v>1000</v>
      </c>
      <c r="D218" s="5">
        <f t="shared" si="50"/>
        <v>1000</v>
      </c>
      <c r="E218" s="5">
        <v>1000</v>
      </c>
      <c r="F218" s="5">
        <v>1000</v>
      </c>
      <c r="G218" s="5">
        <v>1250</v>
      </c>
      <c r="H218" s="5">
        <v>1250</v>
      </c>
      <c r="I218" s="5">
        <v>1400</v>
      </c>
      <c r="J218" s="5">
        <v>1400</v>
      </c>
      <c r="K218" s="5">
        <v>1400</v>
      </c>
      <c r="L218" s="5">
        <v>1400</v>
      </c>
      <c r="M218" s="16">
        <v>1500</v>
      </c>
      <c r="N218" s="5">
        <f t="shared" si="46"/>
        <v>100</v>
      </c>
    </row>
    <row r="219" spans="1:15" s="1" customFormat="1" ht="49.2" x14ac:dyDescent="0.3">
      <c r="A219" s="4">
        <v>7752</v>
      </c>
      <c r="B219" s="4" t="s">
        <v>135</v>
      </c>
      <c r="C219" s="5">
        <v>19000</v>
      </c>
      <c r="D219" s="5">
        <f>C219</f>
        <v>19000</v>
      </c>
      <c r="E219" s="5">
        <v>19000</v>
      </c>
      <c r="F219" s="5">
        <v>19000</v>
      </c>
      <c r="G219" s="5">
        <v>21000</v>
      </c>
      <c r="H219" s="5">
        <v>23500</v>
      </c>
      <c r="I219" s="5">
        <v>21500</v>
      </c>
      <c r="J219" s="5">
        <v>21500</v>
      </c>
      <c r="K219" s="5">
        <v>21500</v>
      </c>
      <c r="L219" s="5">
        <v>21500</v>
      </c>
      <c r="M219" s="16">
        <v>26000</v>
      </c>
      <c r="N219" s="5">
        <f t="shared" si="46"/>
        <v>4500</v>
      </c>
      <c r="O219" s="4" t="s">
        <v>237</v>
      </c>
    </row>
    <row r="220" spans="1:15" ht="20.399999999999999" x14ac:dyDescent="0.3">
      <c r="A220" s="4">
        <v>7760</v>
      </c>
      <c r="B220" s="2" t="s">
        <v>136</v>
      </c>
      <c r="C220" s="5">
        <v>2000</v>
      </c>
      <c r="D220" s="5">
        <f t="shared" ref="D220:D222" si="51">C220</f>
        <v>2000</v>
      </c>
      <c r="E220" s="5">
        <v>2000</v>
      </c>
      <c r="F220" s="5">
        <v>2000</v>
      </c>
      <c r="G220" s="5">
        <v>2000</v>
      </c>
      <c r="H220" s="5">
        <v>2000</v>
      </c>
      <c r="I220" s="5">
        <v>1000</v>
      </c>
      <c r="J220" s="5">
        <v>1000</v>
      </c>
      <c r="K220" s="5">
        <v>1000</v>
      </c>
      <c r="L220" s="5">
        <v>1000</v>
      </c>
      <c r="M220" s="16">
        <v>1000</v>
      </c>
      <c r="N220" s="5">
        <f t="shared" si="46"/>
        <v>0</v>
      </c>
    </row>
    <row r="221" spans="1:15" ht="20.399999999999999" x14ac:dyDescent="0.3">
      <c r="A221" s="4">
        <v>7771</v>
      </c>
      <c r="B221" s="2" t="s">
        <v>137</v>
      </c>
      <c r="C221" s="5">
        <v>9500</v>
      </c>
      <c r="D221" s="5">
        <f t="shared" si="51"/>
        <v>9500</v>
      </c>
      <c r="E221" s="5">
        <v>10100</v>
      </c>
      <c r="F221" s="5">
        <v>10100</v>
      </c>
      <c r="G221" s="5">
        <v>10000</v>
      </c>
      <c r="H221" s="5">
        <v>10000</v>
      </c>
      <c r="I221" s="5">
        <v>9800</v>
      </c>
      <c r="J221" s="5">
        <v>9800</v>
      </c>
      <c r="K221" s="5">
        <v>9800</v>
      </c>
      <c r="L221" s="5">
        <v>9800</v>
      </c>
      <c r="M221" s="16">
        <v>9500</v>
      </c>
      <c r="N221" s="5">
        <f t="shared" si="46"/>
        <v>-300</v>
      </c>
    </row>
    <row r="222" spans="1:15" x14ac:dyDescent="0.3">
      <c r="A222" s="4">
        <v>7772</v>
      </c>
      <c r="B222" s="2" t="s">
        <v>173</v>
      </c>
      <c r="D222" s="5">
        <f t="shared" si="51"/>
        <v>0</v>
      </c>
      <c r="E222" s="5">
        <v>1265</v>
      </c>
      <c r="F222" s="3">
        <v>1265</v>
      </c>
      <c r="G222" s="5">
        <v>1300</v>
      </c>
      <c r="H222" s="5">
        <v>1300</v>
      </c>
      <c r="I222" s="5">
        <v>0</v>
      </c>
      <c r="J222" s="5">
        <v>0</v>
      </c>
      <c r="K222" s="5">
        <v>0</v>
      </c>
      <c r="L222" s="5">
        <v>0</v>
      </c>
      <c r="M222" s="16">
        <v>0</v>
      </c>
      <c r="N222" s="5">
        <f t="shared" si="46"/>
        <v>0</v>
      </c>
    </row>
    <row r="223" spans="1:15" ht="30" x14ac:dyDescent="0.3">
      <c r="A223" s="4">
        <v>8010</v>
      </c>
      <c r="B223" s="2" t="s">
        <v>159</v>
      </c>
      <c r="C223" s="5">
        <f>C9</f>
        <v>912673.32</v>
      </c>
      <c r="D223" s="5">
        <v>1013190.3</v>
      </c>
      <c r="E223" s="5">
        <f>D223-60000-5000-560-6000</f>
        <v>941630.3</v>
      </c>
      <c r="F223" s="5">
        <v>956824.09</v>
      </c>
      <c r="G223" s="5">
        <v>830037</v>
      </c>
      <c r="H223" s="5">
        <f>956824.06</f>
        <v>956824.06</v>
      </c>
      <c r="I223" s="5">
        <v>850639</v>
      </c>
      <c r="J223" s="5">
        <v>889596.29</v>
      </c>
      <c r="K223" s="5">
        <v>797916.29</v>
      </c>
      <c r="L223" s="5">
        <v>827987.49</v>
      </c>
      <c r="M223" s="16">
        <v>741987.49</v>
      </c>
      <c r="N223" s="5">
        <f t="shared" si="46"/>
        <v>-86000</v>
      </c>
      <c r="O223" s="4" t="s">
        <v>250</v>
      </c>
    </row>
    <row r="224" spans="1:15" x14ac:dyDescent="0.3">
      <c r="A224" s="4">
        <v>8011</v>
      </c>
      <c r="B224" s="2" t="s">
        <v>138</v>
      </c>
      <c r="C224" s="5">
        <v>2000</v>
      </c>
      <c r="D224" s="5">
        <f>C224</f>
        <v>2000</v>
      </c>
      <c r="E224" s="5">
        <v>2000</v>
      </c>
      <c r="F224" s="5">
        <v>2000</v>
      </c>
      <c r="G224" s="5">
        <v>1300</v>
      </c>
      <c r="H224" s="5">
        <v>1300</v>
      </c>
      <c r="I224" s="5">
        <v>700</v>
      </c>
      <c r="J224" s="5">
        <v>700</v>
      </c>
      <c r="K224" s="5">
        <v>700</v>
      </c>
      <c r="L224" s="5">
        <v>700</v>
      </c>
      <c r="M224" s="16">
        <v>2000</v>
      </c>
      <c r="N224" s="5">
        <f>M224-L224</f>
        <v>1300</v>
      </c>
      <c r="O224" s="4"/>
    </row>
    <row r="225" spans="1:15" x14ac:dyDescent="0.3">
      <c r="A225" s="4">
        <v>8015</v>
      </c>
      <c r="B225" s="2" t="s">
        <v>139</v>
      </c>
      <c r="C225" s="5">
        <v>2000</v>
      </c>
      <c r="D225" s="5">
        <f>C225</f>
        <v>2000</v>
      </c>
      <c r="E225" s="5">
        <v>2000</v>
      </c>
      <c r="F225" s="5">
        <v>2000</v>
      </c>
      <c r="G225" s="5">
        <v>2000</v>
      </c>
      <c r="H225" s="5">
        <v>2000</v>
      </c>
      <c r="I225" s="5">
        <v>1000</v>
      </c>
      <c r="J225" s="5">
        <v>1000</v>
      </c>
      <c r="K225" s="5">
        <v>2000.2</v>
      </c>
      <c r="L225" s="5">
        <v>5000.2</v>
      </c>
      <c r="M225" s="16">
        <v>2000</v>
      </c>
      <c r="N225" s="5">
        <f t="shared" ref="N225" si="52">M225-L225</f>
        <v>-3000.2</v>
      </c>
      <c r="O225" s="4"/>
    </row>
    <row r="226" spans="1:15" ht="20.399999999999999" x14ac:dyDescent="0.3">
      <c r="A226" s="4">
        <v>8016</v>
      </c>
      <c r="B226" s="2" t="s">
        <v>247</v>
      </c>
      <c r="L226" s="5">
        <v>5423700</v>
      </c>
      <c r="M226" s="16">
        <v>5423700</v>
      </c>
      <c r="N226" s="5">
        <f t="shared" si="46"/>
        <v>0</v>
      </c>
      <c r="O226" s="4" t="s">
        <v>297</v>
      </c>
    </row>
    <row r="227" spans="1:15" x14ac:dyDescent="0.3">
      <c r="A227" s="4"/>
      <c r="M227" s="16"/>
      <c r="N227" s="5">
        <f t="shared" si="46"/>
        <v>0</v>
      </c>
    </row>
    <row r="228" spans="1:15" x14ac:dyDescent="0.3">
      <c r="A228" s="4"/>
      <c r="B228" s="2" t="s">
        <v>140</v>
      </c>
      <c r="C228" s="3" t="e">
        <f>C180+#REF!+C192+C197+C198+C201+C205+C206+SUM(C211:C226)</f>
        <v>#REF!</v>
      </c>
      <c r="D228" s="3" t="e">
        <f>D180+#REF!+D192+D197+D198+D201+D205+D206+SUM(D211:D226)</f>
        <v>#REF!</v>
      </c>
      <c r="E228" s="3" t="e">
        <f>E180+#REF!+E192+E197+E198+E201+E205+E206+SUM(E211:E226)</f>
        <v>#REF!</v>
      </c>
      <c r="F228" s="5" t="e">
        <f>F180+#REF!+F192+F197+F198+F201+F205+F206+SUM(F211:F226)</f>
        <v>#REF!</v>
      </c>
      <c r="G228" s="3" t="e">
        <f>G180+#REF!+G192+G197+G198+G201+G205+G206+SUM(G211:G226)</f>
        <v>#REF!</v>
      </c>
      <c r="H228" s="3" t="e">
        <f>H180+#REF!+H192+H197+H198+H201+H205+H206+SUM(H211:H226)</f>
        <v>#REF!</v>
      </c>
      <c r="I228" s="3">
        <f>I180+I181+I187+I192+I194+I195+I197+I198+I201+I204+I205+I206+SUM(I211:I226)</f>
        <v>2279360</v>
      </c>
      <c r="J228" s="3">
        <f>J180+J181+J187+J192+J194+J195+J197+J198+J201+J204+J205+J206+SUM(J211:J226)</f>
        <v>2354595.29</v>
      </c>
      <c r="K228" s="3">
        <f>K180+K181+K187+K192+K194+K195+K197+K198+K201+K204+K205+K206+SUM(K211:K226)</f>
        <v>2756405.26</v>
      </c>
      <c r="L228" s="3">
        <f>L180+L181+L187+L192+L194+L195+L197+L198+L201+L204+L205+L206+SUM(L211:L226)</f>
        <v>8223076.4600000009</v>
      </c>
      <c r="M228" s="18">
        <f>M180+M181+M187+M192+M194+M195+M196+M197+M198+M201+M204+M205+M206+SUM(M211:M226)</f>
        <v>8210636.5399999991</v>
      </c>
      <c r="N228" s="5">
        <f t="shared" si="46"/>
        <v>-12439.920000001788</v>
      </c>
    </row>
    <row r="229" spans="1:15" x14ac:dyDescent="0.3">
      <c r="A229" s="4"/>
      <c r="M229" s="16"/>
      <c r="N229" s="5">
        <f t="shared" si="46"/>
        <v>0</v>
      </c>
    </row>
    <row r="230" spans="1:15" x14ac:dyDescent="0.3">
      <c r="A230" s="4"/>
      <c r="B230" s="2" t="s">
        <v>141</v>
      </c>
      <c r="M230" s="16"/>
      <c r="N230" s="5">
        <f t="shared" si="46"/>
        <v>0</v>
      </c>
    </row>
    <row r="231" spans="1:15" x14ac:dyDescent="0.3">
      <c r="A231" s="4"/>
      <c r="M231" s="16"/>
      <c r="N231" s="5">
        <f t="shared" si="46"/>
        <v>0</v>
      </c>
    </row>
    <row r="232" spans="1:15" x14ac:dyDescent="0.3">
      <c r="A232" s="14">
        <v>9103</v>
      </c>
      <c r="B232" s="2" t="s">
        <v>142</v>
      </c>
      <c r="C232" s="5">
        <v>0</v>
      </c>
      <c r="D232" s="5">
        <f>C232</f>
        <v>0</v>
      </c>
      <c r="E232" s="5">
        <v>0</v>
      </c>
      <c r="F232" s="5">
        <v>0</v>
      </c>
      <c r="G232" s="5">
        <v>0</v>
      </c>
      <c r="H232" s="5">
        <v>0</v>
      </c>
      <c r="M232" s="16"/>
      <c r="N232" s="5">
        <f t="shared" si="46"/>
        <v>0</v>
      </c>
    </row>
    <row r="233" spans="1:15" x14ac:dyDescent="0.3">
      <c r="A233" s="14">
        <v>9114</v>
      </c>
      <c r="B233" s="2" t="s">
        <v>143</v>
      </c>
      <c r="C233" s="5">
        <v>75000</v>
      </c>
      <c r="D233" s="5">
        <f t="shared" ref="D233:D238" si="53">C233</f>
        <v>75000</v>
      </c>
      <c r="E233" s="5">
        <v>75000</v>
      </c>
      <c r="F233" s="5">
        <v>75000</v>
      </c>
      <c r="G233" s="5">
        <v>75000</v>
      </c>
      <c r="H233" s="5">
        <v>75000</v>
      </c>
      <c r="I233" s="5">
        <v>75000</v>
      </c>
      <c r="J233" s="5">
        <v>75000</v>
      </c>
      <c r="K233" s="5">
        <v>75000</v>
      </c>
      <c r="L233" s="5">
        <v>75000</v>
      </c>
      <c r="M233" s="16">
        <v>75000</v>
      </c>
      <c r="N233" s="5">
        <f t="shared" si="46"/>
        <v>0</v>
      </c>
      <c r="O233" s="11" t="s">
        <v>298</v>
      </c>
    </row>
    <row r="234" spans="1:15" ht="30" x14ac:dyDescent="0.3">
      <c r="B234" s="2" t="s">
        <v>260</v>
      </c>
      <c r="K234" s="5">
        <v>100000</v>
      </c>
      <c r="L234" s="5">
        <v>100000</v>
      </c>
      <c r="M234" s="16">
        <v>100000</v>
      </c>
      <c r="N234" s="5">
        <f t="shared" si="46"/>
        <v>0</v>
      </c>
      <c r="O234" s="4" t="s">
        <v>299</v>
      </c>
    </row>
    <row r="235" spans="1:15" x14ac:dyDescent="0.3">
      <c r="A235" s="14">
        <v>9121</v>
      </c>
      <c r="B235" s="2" t="s">
        <v>144</v>
      </c>
      <c r="D235" s="5">
        <f t="shared" si="53"/>
        <v>0</v>
      </c>
      <c r="E235" s="5">
        <v>0</v>
      </c>
      <c r="F235" s="5">
        <v>0</v>
      </c>
      <c r="G235" s="5">
        <v>0</v>
      </c>
      <c r="H235" s="5">
        <v>0</v>
      </c>
      <c r="M235" s="16"/>
      <c r="N235" s="5">
        <f t="shared" si="46"/>
        <v>0</v>
      </c>
    </row>
    <row r="236" spans="1:15" ht="20.399999999999999" x14ac:dyDescent="0.3">
      <c r="A236" s="14">
        <v>9126</v>
      </c>
      <c r="B236" s="2" t="s">
        <v>158</v>
      </c>
      <c r="D236" s="5">
        <f t="shared" si="53"/>
        <v>0</v>
      </c>
      <c r="E236" s="5">
        <v>0</v>
      </c>
      <c r="F236" s="5">
        <v>0</v>
      </c>
      <c r="G236" s="5">
        <v>0</v>
      </c>
      <c r="H236" s="5">
        <v>0</v>
      </c>
      <c r="M236" s="16"/>
      <c r="N236" s="5">
        <f t="shared" si="46"/>
        <v>0</v>
      </c>
    </row>
    <row r="237" spans="1:15" x14ac:dyDescent="0.3">
      <c r="B237" s="2" t="s">
        <v>169</v>
      </c>
      <c r="D237" s="5">
        <f t="shared" si="53"/>
        <v>0</v>
      </c>
      <c r="E237" s="5">
        <v>0</v>
      </c>
      <c r="F237" s="5">
        <v>0</v>
      </c>
      <c r="G237" s="5">
        <v>0</v>
      </c>
      <c r="H237" s="5">
        <v>0</v>
      </c>
      <c r="M237" s="16"/>
      <c r="N237" s="5">
        <f t="shared" si="46"/>
        <v>0</v>
      </c>
    </row>
    <row r="238" spans="1:15" ht="20.399999999999999" x14ac:dyDescent="0.3">
      <c r="A238" s="14">
        <v>9141</v>
      </c>
      <c r="B238" s="2" t="s">
        <v>145</v>
      </c>
      <c r="D238" s="5">
        <f t="shared" si="53"/>
        <v>0</v>
      </c>
      <c r="E238" s="5">
        <v>0</v>
      </c>
      <c r="F238" s="5">
        <v>0</v>
      </c>
      <c r="G238" s="5">
        <v>0</v>
      </c>
      <c r="H238" s="5">
        <v>0</v>
      </c>
      <c r="M238" s="16"/>
      <c r="N238" s="5">
        <f t="shared" si="46"/>
        <v>0</v>
      </c>
    </row>
    <row r="239" spans="1:15" x14ac:dyDescent="0.3">
      <c r="A239" s="14">
        <v>9146</v>
      </c>
      <c r="B239" s="2" t="s">
        <v>174</v>
      </c>
      <c r="D239" s="5">
        <v>40000</v>
      </c>
      <c r="G239" s="5">
        <v>0</v>
      </c>
      <c r="H239" s="5">
        <v>0</v>
      </c>
      <c r="M239" s="16"/>
      <c r="N239" s="5">
        <f t="shared" si="46"/>
        <v>0</v>
      </c>
    </row>
    <row r="240" spans="1:15" x14ac:dyDescent="0.3">
      <c r="A240" s="14">
        <v>9153</v>
      </c>
      <c r="B240" s="2" t="s">
        <v>194</v>
      </c>
      <c r="J240" s="5">
        <v>5356.09</v>
      </c>
      <c r="M240" s="16"/>
      <c r="N240" s="5">
        <f t="shared" si="46"/>
        <v>0</v>
      </c>
    </row>
    <row r="241" spans="1:15" x14ac:dyDescent="0.3">
      <c r="A241" s="14">
        <v>9157</v>
      </c>
      <c r="B241" s="2" t="s">
        <v>164</v>
      </c>
      <c r="D241" s="5">
        <v>3159</v>
      </c>
      <c r="E241" s="5">
        <v>2004</v>
      </c>
      <c r="F241" s="7">
        <v>2004</v>
      </c>
      <c r="G241" s="5">
        <v>0</v>
      </c>
      <c r="H241" s="5">
        <v>0</v>
      </c>
      <c r="M241" s="16"/>
      <c r="N241" s="5">
        <f t="shared" si="46"/>
        <v>0</v>
      </c>
    </row>
    <row r="242" spans="1:15" x14ac:dyDescent="0.3">
      <c r="A242" s="14">
        <v>9159</v>
      </c>
      <c r="B242" s="2" t="s">
        <v>181</v>
      </c>
      <c r="F242" s="3">
        <v>60000</v>
      </c>
      <c r="G242" s="5">
        <v>0</v>
      </c>
      <c r="H242" s="5">
        <v>0</v>
      </c>
      <c r="M242" s="16"/>
      <c r="N242" s="5">
        <f t="shared" si="46"/>
        <v>0</v>
      </c>
    </row>
    <row r="243" spans="1:15" x14ac:dyDescent="0.3">
      <c r="A243" s="14">
        <v>9166</v>
      </c>
      <c r="B243" s="2" t="s">
        <v>185</v>
      </c>
      <c r="F243" s="3">
        <v>399500</v>
      </c>
      <c r="G243" s="5">
        <v>0</v>
      </c>
      <c r="H243" s="5">
        <v>0</v>
      </c>
      <c r="M243" s="16"/>
      <c r="N243" s="5">
        <f t="shared" si="46"/>
        <v>0</v>
      </c>
    </row>
    <row r="244" spans="1:15" ht="20.399999999999999" x14ac:dyDescent="0.3">
      <c r="A244" s="14">
        <v>9171</v>
      </c>
      <c r="B244" s="2" t="s">
        <v>146</v>
      </c>
      <c r="C244" s="5">
        <v>276314</v>
      </c>
      <c r="D244" s="5">
        <f>C244</f>
        <v>276314</v>
      </c>
      <c r="E244" s="5">
        <v>283288</v>
      </c>
      <c r="F244" s="5">
        <v>283288</v>
      </c>
      <c r="G244" s="5">
        <v>277867</v>
      </c>
      <c r="H244" s="5">
        <v>347110</v>
      </c>
      <c r="I244" s="5">
        <f>294348+5215</f>
        <v>299563</v>
      </c>
      <c r="J244" s="5">
        <v>309873.96999999997</v>
      </c>
      <c r="K244" s="5">
        <v>334831.02</v>
      </c>
      <c r="L244" s="5">
        <v>364022</v>
      </c>
      <c r="M244" s="16">
        <v>342859</v>
      </c>
      <c r="N244" s="5">
        <f t="shared" si="46"/>
        <v>-21163</v>
      </c>
      <c r="O244" s="4" t="s">
        <v>225</v>
      </c>
    </row>
    <row r="245" spans="1:15" x14ac:dyDescent="0.3">
      <c r="A245" s="14">
        <v>9176</v>
      </c>
      <c r="B245" s="2" t="s">
        <v>183</v>
      </c>
      <c r="F245" s="3">
        <v>6700</v>
      </c>
      <c r="G245" s="5">
        <v>0</v>
      </c>
      <c r="H245" s="5">
        <v>6644.21</v>
      </c>
      <c r="M245" s="16">
        <v>0</v>
      </c>
      <c r="N245" s="5">
        <f t="shared" si="46"/>
        <v>0</v>
      </c>
    </row>
    <row r="246" spans="1:15" ht="30" x14ac:dyDescent="0.3">
      <c r="A246" s="14">
        <v>9196</v>
      </c>
      <c r="B246" s="2" t="s">
        <v>213</v>
      </c>
      <c r="F246" s="3"/>
      <c r="J246" s="5">
        <v>3758</v>
      </c>
      <c r="L246" s="5">
        <v>10143</v>
      </c>
      <c r="M246" s="18">
        <v>8949</v>
      </c>
      <c r="N246" s="5">
        <f t="shared" si="46"/>
        <v>-1194</v>
      </c>
      <c r="O246" s="4" t="s">
        <v>227</v>
      </c>
    </row>
    <row r="247" spans="1:15" x14ac:dyDescent="0.3">
      <c r="A247" s="14">
        <v>9206</v>
      </c>
      <c r="B247" s="2" t="s">
        <v>195</v>
      </c>
      <c r="J247" s="5">
        <v>13175</v>
      </c>
      <c r="M247" s="16"/>
      <c r="N247" s="5">
        <f t="shared" si="46"/>
        <v>0</v>
      </c>
    </row>
    <row r="248" spans="1:15" ht="20.399999999999999" x14ac:dyDescent="0.3">
      <c r="A248" s="14">
        <v>9211</v>
      </c>
      <c r="B248" s="2" t="s">
        <v>198</v>
      </c>
      <c r="J248" s="5">
        <v>2000</v>
      </c>
      <c r="M248" s="16"/>
      <c r="N248" s="5">
        <f t="shared" si="46"/>
        <v>0</v>
      </c>
    </row>
    <row r="249" spans="1:15" x14ac:dyDescent="0.3">
      <c r="A249" s="14">
        <v>9216</v>
      </c>
      <c r="B249" s="2" t="s">
        <v>197</v>
      </c>
      <c r="J249" s="5">
        <v>101227</v>
      </c>
      <c r="M249" s="16"/>
      <c r="N249" s="5">
        <f t="shared" si="46"/>
        <v>0</v>
      </c>
    </row>
    <row r="250" spans="1:15" x14ac:dyDescent="0.3">
      <c r="A250" s="14">
        <v>9221</v>
      </c>
      <c r="B250" s="2" t="s">
        <v>230</v>
      </c>
      <c r="L250" s="5">
        <v>35647</v>
      </c>
      <c r="M250" s="16">
        <v>27018</v>
      </c>
      <c r="N250" s="5">
        <f t="shared" si="46"/>
        <v>-8629</v>
      </c>
    </row>
    <row r="251" spans="1:15" x14ac:dyDescent="0.3">
      <c r="A251" s="14">
        <v>9231</v>
      </c>
      <c r="B251" s="2" t="s">
        <v>264</v>
      </c>
      <c r="L251" s="5">
        <v>155104</v>
      </c>
      <c r="M251" s="16"/>
      <c r="N251" s="5">
        <f t="shared" si="46"/>
        <v>-155104</v>
      </c>
    </row>
    <row r="252" spans="1:15" x14ac:dyDescent="0.3">
      <c r="A252" s="14">
        <v>9234</v>
      </c>
      <c r="B252" s="2" t="s">
        <v>231</v>
      </c>
      <c r="L252" s="5">
        <v>10000</v>
      </c>
      <c r="M252" s="16"/>
    </row>
    <row r="253" spans="1:15" x14ac:dyDescent="0.3">
      <c r="A253" s="14">
        <v>9236</v>
      </c>
      <c r="B253" s="2" t="s">
        <v>265</v>
      </c>
      <c r="L253" s="5">
        <v>81171</v>
      </c>
      <c r="M253" s="16">
        <v>25000</v>
      </c>
      <c r="N253" s="5">
        <f t="shared" si="46"/>
        <v>-56171</v>
      </c>
    </row>
    <row r="254" spans="1:15" x14ac:dyDescent="0.3">
      <c r="M254" s="16"/>
      <c r="N254" s="5">
        <f t="shared" si="46"/>
        <v>0</v>
      </c>
    </row>
    <row r="255" spans="1:15" x14ac:dyDescent="0.3">
      <c r="M255" s="16"/>
      <c r="N255" s="5">
        <f t="shared" si="46"/>
        <v>0</v>
      </c>
    </row>
    <row r="256" spans="1:15" x14ac:dyDescent="0.3">
      <c r="F256" s="7"/>
      <c r="M256" s="16"/>
      <c r="N256" s="5">
        <f t="shared" si="46"/>
        <v>0</v>
      </c>
    </row>
    <row r="257" spans="1:14" x14ac:dyDescent="0.3">
      <c r="A257" s="4"/>
      <c r="B257" s="2" t="s">
        <v>147</v>
      </c>
      <c r="C257" s="8">
        <f t="shared" ref="C257:E257" si="54">SUM(C232:C244)</f>
        <v>351314</v>
      </c>
      <c r="D257" s="8">
        <f t="shared" si="54"/>
        <v>394473</v>
      </c>
      <c r="E257" s="8">
        <f t="shared" si="54"/>
        <v>360292</v>
      </c>
      <c r="F257" s="5">
        <f>SUM(F232:F248)</f>
        <v>826492</v>
      </c>
      <c r="G257" s="5">
        <f>SUM(G232:G248)</f>
        <v>352867</v>
      </c>
      <c r="H257" s="5">
        <f>SUM(H232:H248)</f>
        <v>428754.21</v>
      </c>
      <c r="I257" s="5">
        <f>SUM(I232:I253)</f>
        <v>374563</v>
      </c>
      <c r="J257" s="5">
        <f>SUM(J232:J253)</f>
        <v>510390.05999999994</v>
      </c>
      <c r="K257" s="5">
        <f>SUM(K232:K253)</f>
        <v>509831.02</v>
      </c>
      <c r="L257" s="5">
        <f>SUM(L232:L253)</f>
        <v>831087</v>
      </c>
      <c r="M257" s="16">
        <f>SUM(M232:M253)</f>
        <v>578826</v>
      </c>
      <c r="N257" s="5">
        <f t="shared" si="46"/>
        <v>-252261</v>
      </c>
    </row>
    <row r="258" spans="1:14" x14ac:dyDescent="0.3">
      <c r="M258" s="16"/>
      <c r="N258" s="5">
        <f t="shared" si="46"/>
        <v>0</v>
      </c>
    </row>
    <row r="259" spans="1:14" ht="20.399999999999999" x14ac:dyDescent="0.3">
      <c r="B259" s="2" t="s">
        <v>148</v>
      </c>
      <c r="C259" s="7" t="e">
        <f t="shared" ref="C259:K259" si="55">C85+C120+C91+C130+C140+C150+C166+C176+C228+C257-C111-C114-C112-C113-C223</f>
        <v>#REF!</v>
      </c>
      <c r="D259" s="7" t="e">
        <f t="shared" si="55"/>
        <v>#REF!</v>
      </c>
      <c r="E259" s="7" t="e">
        <f t="shared" si="55"/>
        <v>#REF!</v>
      </c>
      <c r="F259" s="7" t="e">
        <f t="shared" si="55"/>
        <v>#REF!</v>
      </c>
      <c r="G259" s="7" t="e">
        <f t="shared" si="55"/>
        <v>#REF!</v>
      </c>
      <c r="H259" s="7" t="e">
        <f t="shared" si="55"/>
        <v>#REF!</v>
      </c>
      <c r="I259" s="7">
        <f t="shared" si="55"/>
        <v>6306328.5800000001</v>
      </c>
      <c r="J259" s="7">
        <f t="shared" si="55"/>
        <v>6456755.6399999987</v>
      </c>
      <c r="K259" s="7">
        <f t="shared" si="55"/>
        <v>6987623.6699999999</v>
      </c>
      <c r="L259" s="7">
        <f>L85+L120+L91+L130+L140+L150+L166+L176+L228+L257-L111-L114-L112-L113-L223-L226</f>
        <v>7321779.6500000022</v>
      </c>
      <c r="M259" s="17">
        <f>M85+M120+M91+M130+M140+M150+M166+M176+M228-M226+M257-M111-M114-M112-M113-M223</f>
        <v>7271819.3899999997</v>
      </c>
      <c r="N259" s="5">
        <f t="shared" si="46"/>
        <v>-49960.26000000257</v>
      </c>
    </row>
    <row r="260" spans="1:14" ht="20.399999999999999" x14ac:dyDescent="0.3">
      <c r="A260" s="4"/>
      <c r="B260" s="2" t="s">
        <v>149</v>
      </c>
      <c r="C260" s="10">
        <f t="shared" ref="C260:K260" si="56">C114+C111+C112+C113+C223</f>
        <v>1940192.52</v>
      </c>
      <c r="D260" s="10">
        <f t="shared" si="56"/>
        <v>2117531.5300000003</v>
      </c>
      <c r="E260" s="10">
        <f t="shared" si="56"/>
        <v>2053252.53</v>
      </c>
      <c r="F260" s="8">
        <f t="shared" si="56"/>
        <v>2203932.1599999997</v>
      </c>
      <c r="G260" s="3">
        <f t="shared" si="56"/>
        <v>2082141.0699999998</v>
      </c>
      <c r="H260" s="3">
        <f t="shared" si="56"/>
        <v>1979265.11</v>
      </c>
      <c r="I260" s="3">
        <f t="shared" si="56"/>
        <v>1885840.05</v>
      </c>
      <c r="J260" s="3">
        <f t="shared" si="56"/>
        <v>1980529.98</v>
      </c>
      <c r="K260" s="3">
        <f t="shared" si="56"/>
        <v>1890747.98</v>
      </c>
      <c r="L260" s="3">
        <f>L114+L111+L112+L113+L223+L226</f>
        <v>7459939.5499999998</v>
      </c>
      <c r="M260" s="18">
        <f>M114+M111+M112+M113+M223+M226</f>
        <v>7375837.5499999998</v>
      </c>
      <c r="N260" s="5">
        <f t="shared" si="46"/>
        <v>-84102</v>
      </c>
    </row>
    <row r="261" spans="1:14" x14ac:dyDescent="0.3">
      <c r="A261" s="4"/>
      <c r="B261" s="2" t="s">
        <v>150</v>
      </c>
      <c r="C261" s="10" t="e">
        <f t="shared" ref="C261:E261" si="57">SUM(C259:C260)</f>
        <v>#REF!</v>
      </c>
      <c r="D261" s="10" t="e">
        <f t="shared" si="57"/>
        <v>#REF!</v>
      </c>
      <c r="E261" s="10" t="e">
        <f t="shared" si="57"/>
        <v>#REF!</v>
      </c>
      <c r="F261" s="8" t="e">
        <f t="shared" ref="F261" si="58">SUM(F259:F260)</f>
        <v>#REF!</v>
      </c>
      <c r="G261" s="10" t="e">
        <f t="shared" ref="G261:H261" si="59">SUM(G259:G260)</f>
        <v>#REF!</v>
      </c>
      <c r="H261" s="10" t="e">
        <f t="shared" si="59"/>
        <v>#REF!</v>
      </c>
      <c r="I261" s="10">
        <f>SUM(I259:I260)</f>
        <v>8192168.6299999999</v>
      </c>
      <c r="J261" s="10">
        <f>SUM(J259:J260)</f>
        <v>8437285.6199999992</v>
      </c>
      <c r="K261" s="3">
        <f>SUM(K259:K260)</f>
        <v>8878371.6500000004</v>
      </c>
      <c r="L261" s="3">
        <f>SUM(L259:L260)</f>
        <v>14781719.200000003</v>
      </c>
      <c r="M261" s="18">
        <f>SUM(M259:M260)</f>
        <v>14647656.939999999</v>
      </c>
      <c r="N261" s="5">
        <f t="shared" si="46"/>
        <v>-134062.2600000035</v>
      </c>
    </row>
    <row r="262" spans="1:14" x14ac:dyDescent="0.3">
      <c r="A262" s="4"/>
      <c r="M262" s="16"/>
      <c r="N262" s="5">
        <f t="shared" si="46"/>
        <v>0</v>
      </c>
    </row>
    <row r="263" spans="1:14" ht="30" x14ac:dyDescent="0.3">
      <c r="A263" s="4"/>
      <c r="B263" s="2" t="s">
        <v>151</v>
      </c>
      <c r="C263" s="10" t="e">
        <f t="shared" ref="C263:M263" si="60">C62-C261</f>
        <v>#REF!</v>
      </c>
      <c r="D263" s="10" t="e">
        <f t="shared" si="60"/>
        <v>#REF!</v>
      </c>
      <c r="E263" s="10" t="e">
        <f t="shared" si="60"/>
        <v>#REF!</v>
      </c>
      <c r="F263" s="8" t="e">
        <f t="shared" si="60"/>
        <v>#REF!</v>
      </c>
      <c r="G263" s="10" t="e">
        <f t="shared" si="60"/>
        <v>#REF!</v>
      </c>
      <c r="H263" s="10" t="e">
        <f t="shared" si="60"/>
        <v>#REF!</v>
      </c>
      <c r="I263" s="10">
        <f t="shared" si="60"/>
        <v>243153.17000000086</v>
      </c>
      <c r="J263" s="10">
        <f t="shared" si="60"/>
        <v>240353.17000000179</v>
      </c>
      <c r="K263" s="3">
        <f t="shared" si="60"/>
        <v>0</v>
      </c>
      <c r="L263" s="3">
        <f t="shared" si="60"/>
        <v>0</v>
      </c>
      <c r="M263" s="18">
        <f t="shared" si="60"/>
        <v>0</v>
      </c>
      <c r="N263" s="5">
        <f t="shared" si="46"/>
        <v>0</v>
      </c>
    </row>
    <row r="264" spans="1:14" ht="20.399999999999999" x14ac:dyDescent="0.3">
      <c r="B264" s="2" t="s">
        <v>152</v>
      </c>
      <c r="C264" s="9" t="e">
        <f t="shared" ref="C264:M264" si="61">C60-C259</f>
        <v>#REF!</v>
      </c>
      <c r="D264" s="9" t="e">
        <f t="shared" si="61"/>
        <v>#REF!</v>
      </c>
      <c r="E264" s="9" t="e">
        <f t="shared" si="61"/>
        <v>#REF!</v>
      </c>
      <c r="F264" s="8" t="e">
        <f t="shared" si="61"/>
        <v>#REF!</v>
      </c>
      <c r="G264" s="9" t="e">
        <f t="shared" si="61"/>
        <v>#REF!</v>
      </c>
      <c r="H264" s="9" t="e">
        <f t="shared" si="61"/>
        <v>#REF!</v>
      </c>
      <c r="I264" s="9">
        <f t="shared" si="61"/>
        <v>255913.16999999993</v>
      </c>
      <c r="J264" s="9">
        <f t="shared" si="61"/>
        <v>253113.17000000179</v>
      </c>
      <c r="K264" s="7">
        <f t="shared" si="61"/>
        <v>1898</v>
      </c>
      <c r="L264" s="7">
        <f t="shared" si="61"/>
        <v>1897.9999999962747</v>
      </c>
      <c r="M264" s="17">
        <f t="shared" si="61"/>
        <v>1897.9999999990687</v>
      </c>
      <c r="N264" s="5">
        <f t="shared" si="46"/>
        <v>2.7939677238464355E-9</v>
      </c>
    </row>
    <row r="267" spans="1:14" ht="409.6" x14ac:dyDescent="0.3">
      <c r="I267" s="3" t="s">
        <v>190</v>
      </c>
      <c r="J267" s="3" t="s">
        <v>190</v>
      </c>
      <c r="K267" s="3" t="s">
        <v>203</v>
      </c>
      <c r="L267" s="3"/>
      <c r="M267" s="3" t="s">
        <v>203</v>
      </c>
    </row>
    <row r="268" spans="1:14" ht="394.8" x14ac:dyDescent="0.3">
      <c r="I268" s="3" t="s">
        <v>191</v>
      </c>
      <c r="J268" s="3" t="s">
        <v>191</v>
      </c>
      <c r="K268" s="3" t="s">
        <v>202</v>
      </c>
      <c r="L268" s="3"/>
      <c r="M268" s="3" t="s">
        <v>202</v>
      </c>
    </row>
    <row r="269" spans="1:14" ht="278.39999999999998" x14ac:dyDescent="0.3">
      <c r="K269" s="13" t="s">
        <v>208</v>
      </c>
      <c r="L269" s="13"/>
      <c r="M269" s="13"/>
    </row>
  </sheetData>
  <printOptions headings="1" gridLines="1"/>
  <pageMargins left="0.15" right="0.1" top="0.14000000000000001" bottom="0.19" header="0.08" footer="0.13"/>
  <pageSetup paperSize="5"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South Central Library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defuser</dc:creator>
  <cp:lastModifiedBy>Administrator</cp:lastModifiedBy>
  <cp:lastPrinted>2022-06-08T14:24:17Z</cp:lastPrinted>
  <dcterms:created xsi:type="dcterms:W3CDTF">2017-05-04T14:11:02Z</dcterms:created>
  <dcterms:modified xsi:type="dcterms:W3CDTF">2022-08-11T14:12:29Z</dcterms:modified>
</cp:coreProperties>
</file>